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410" activeTab="0"/>
  </bookViews>
  <sheets>
    <sheet name="Standard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25_ccm">'[4]_125_ccm'!$A$6:$N$32</definedName>
    <definedName name="_85">#REF!</definedName>
    <definedName name="_85_ccm">'[2]_85_ccm'!$A$6:$N$18</definedName>
    <definedName name="ccm_85">#REF!</definedName>
    <definedName name="DAMEN">'[3]DAMEN'!$A$6:$N$9</definedName>
    <definedName name="Spezial">'[5]Spezial'!$A$6:$N$34</definedName>
    <definedName name="Standard">'Standard'!$A$6:$N$142</definedName>
    <definedName name="Trail">'[1]Trail'!$A$6:$N$14</definedName>
  </definedNames>
  <calcPr fullCalcOnLoad="1"/>
</workbook>
</file>

<file path=xl/sharedStrings.xml><?xml version="1.0" encoding="utf-8"?>
<sst xmlns="http://schemas.openxmlformats.org/spreadsheetml/2006/main" count="658" uniqueCount="372">
  <si>
    <t>Rang</t>
  </si>
  <si>
    <t>St.Nr.</t>
  </si>
  <si>
    <t>Name</t>
  </si>
  <si>
    <t>Ort/Land</t>
  </si>
  <si>
    <t>Motorrad</t>
  </si>
  <si>
    <t>Club</t>
  </si>
  <si>
    <t>Klasse</t>
  </si>
  <si>
    <t>Unterschrift</t>
  </si>
  <si>
    <t>1.Training</t>
  </si>
  <si>
    <t>2.Training</t>
  </si>
  <si>
    <t>1.Durchgang</t>
  </si>
  <si>
    <t>2.Durchgang</t>
  </si>
  <si>
    <t>Min</t>
  </si>
  <si>
    <t>Max</t>
  </si>
  <si>
    <t>Schmidinger Günter</t>
  </si>
  <si>
    <t>Waldneukirchen/OÖ</t>
  </si>
  <si>
    <t>HONDA CR 500</t>
  </si>
  <si>
    <t>MSC Molln/TERSCHL</t>
  </si>
  <si>
    <t>Standard</t>
  </si>
  <si>
    <t>Schmidinger Andreas</t>
  </si>
  <si>
    <t>HONDA CR 250</t>
  </si>
  <si>
    <t>Nonn Lars</t>
  </si>
  <si>
    <t>Dietzhausen/D</t>
  </si>
  <si>
    <t>KTM</t>
  </si>
  <si>
    <t>Nussbaumer Dietmar</t>
  </si>
  <si>
    <t>Dornbirn/Vbg</t>
  </si>
  <si>
    <t>KTM 525</t>
  </si>
  <si>
    <t>MCC-Möggers</t>
  </si>
  <si>
    <t>Ziffer-Dornitzhuber Peter</t>
  </si>
  <si>
    <t>Brunn/Gebirge-NÖ</t>
  </si>
  <si>
    <t>Kawasaki 500</t>
  </si>
  <si>
    <t>UMCT Langenlois</t>
  </si>
  <si>
    <t>Kästner Daniel</t>
  </si>
  <si>
    <t>Suhl/D</t>
  </si>
  <si>
    <t>Müller Christian</t>
  </si>
  <si>
    <t>Dietzhausen-Suhl/D</t>
  </si>
  <si>
    <t xml:space="preserve">Yamaha  </t>
  </si>
  <si>
    <t>Team JB-Bibes</t>
  </si>
  <si>
    <t>Resch Michael</t>
  </si>
  <si>
    <t>Eppendorf/D</t>
  </si>
  <si>
    <t>KTM 250</t>
  </si>
  <si>
    <t>MVL</t>
  </si>
  <si>
    <t>Ritz Oliver</t>
  </si>
  <si>
    <t>Zella/D</t>
  </si>
  <si>
    <t>Kawa</t>
  </si>
  <si>
    <t>Biesemeister Andy</t>
  </si>
  <si>
    <t>Dillstädt/D</t>
  </si>
  <si>
    <t>KTM 200 SX</t>
  </si>
  <si>
    <t>Aichmayr Freddy</t>
  </si>
  <si>
    <t>Wels/OÖ</t>
  </si>
  <si>
    <t>MX Kids Ried/Traunkreis</t>
  </si>
  <si>
    <t>März Hans Peter</t>
  </si>
  <si>
    <t>Bayern</t>
  </si>
  <si>
    <t>Husaberg</t>
  </si>
  <si>
    <t>Schlammspringer</t>
  </si>
  <si>
    <t>Wanka Markus</t>
  </si>
  <si>
    <t>Markschellenburg/D</t>
  </si>
  <si>
    <t>KTM 200</t>
  </si>
  <si>
    <t>MSC Ramsau</t>
  </si>
  <si>
    <t>Hausleitner Helmut</t>
  </si>
  <si>
    <t>Schleißheim-Wels/OÖ</t>
  </si>
  <si>
    <t>KTM 450</t>
  </si>
  <si>
    <t>Megalopolis</t>
  </si>
  <si>
    <t>Riedler David</t>
  </si>
  <si>
    <t>Pettenbach/OÖ</t>
  </si>
  <si>
    <t>KTM LC4</t>
  </si>
  <si>
    <t>HSV-Wels</t>
  </si>
  <si>
    <t>KTM 520</t>
  </si>
  <si>
    <t>Haslebner Walter</t>
  </si>
  <si>
    <t>Judenburg/Stmk.</t>
  </si>
  <si>
    <t>HONDA CR500</t>
  </si>
  <si>
    <t>ESC Auerling</t>
  </si>
  <si>
    <t>Gschossmann Herbert</t>
  </si>
  <si>
    <t>Ramsau/D</t>
  </si>
  <si>
    <t>Yamaha 450</t>
  </si>
  <si>
    <t>Hofstetter Josef</t>
  </si>
  <si>
    <t>Rudelzhausen/D</t>
  </si>
  <si>
    <t>Husky 570</t>
  </si>
  <si>
    <t>Hollerb.Kamikaze Team</t>
  </si>
  <si>
    <t>Leimhofer Andreas</t>
  </si>
  <si>
    <t>Blindenmarkt/NÖ</t>
  </si>
  <si>
    <t>KTM MXC525</t>
  </si>
  <si>
    <t>MRC Screw Driver</t>
  </si>
  <si>
    <t>Steurer Wolfgang</t>
  </si>
  <si>
    <t>Schwarzenberg/Vbg.</t>
  </si>
  <si>
    <t>YAMAHA YZ250</t>
  </si>
  <si>
    <t>MCC Möggers</t>
  </si>
  <si>
    <t>Dangl Sepp</t>
  </si>
  <si>
    <t>Bergen/D</t>
  </si>
  <si>
    <t>Husky</t>
  </si>
  <si>
    <t>SFG Trostberg</t>
  </si>
  <si>
    <t>Glück Harald</t>
  </si>
  <si>
    <t>Loidesthal/NÖ</t>
  </si>
  <si>
    <t>MC Loidesthal</t>
  </si>
  <si>
    <t>Steinert Rene</t>
  </si>
  <si>
    <t>Pfaffroda-Dörnthal/D</t>
  </si>
  <si>
    <t xml:space="preserve">MX Team Assmann </t>
  </si>
  <si>
    <t>Distlberger Leopold</t>
  </si>
  <si>
    <t>Ferschnitz/NÖ</t>
  </si>
  <si>
    <t>KTM EGS300</t>
  </si>
  <si>
    <t>MRC 17er</t>
  </si>
  <si>
    <t>Lang Günther</t>
  </si>
  <si>
    <t>Sarleinsbach/OÖ</t>
  </si>
  <si>
    <t>KTM EXC450</t>
  </si>
  <si>
    <t>ETS Sarleinbach</t>
  </si>
  <si>
    <t>Raßbach Knut</t>
  </si>
  <si>
    <t>Brotterode/D</t>
  </si>
  <si>
    <t>Team Bieberbach</t>
  </si>
  <si>
    <t>Moser Simon</t>
  </si>
  <si>
    <t>Leonstein/OÖ</t>
  </si>
  <si>
    <t>Suttner Sepp</t>
  </si>
  <si>
    <t>Kochel/D</t>
  </si>
  <si>
    <t>KTM EXC 520</t>
  </si>
  <si>
    <t>AMC Penzberg-Adelfurch</t>
  </si>
  <si>
    <t>Stocker Horst</t>
  </si>
  <si>
    <t>Husaberg 500</t>
  </si>
  <si>
    <t>Schindler Thomas</t>
  </si>
  <si>
    <t>Regau/OÖ</t>
  </si>
  <si>
    <t>MRC Aurach</t>
  </si>
  <si>
    <t>Friedrich Christian</t>
  </si>
  <si>
    <t>Bad Bayersoin/D</t>
  </si>
  <si>
    <t>Mayr Gerhard</t>
  </si>
  <si>
    <t>Buchkirchen/OÖ</t>
  </si>
  <si>
    <t>HONDA</t>
  </si>
  <si>
    <t>HSV Wels</t>
  </si>
  <si>
    <t>Singer Robert</t>
  </si>
  <si>
    <t>Großweil/D</t>
  </si>
  <si>
    <t>Oberwieser Florian</t>
  </si>
  <si>
    <t>Bischofswiesen/D</t>
  </si>
  <si>
    <t>Yamaha 400</t>
  </si>
  <si>
    <t>Hentschl Martin</t>
  </si>
  <si>
    <t>KTM 520 EXC</t>
  </si>
  <si>
    <t>Hörmann Thomas</t>
  </si>
  <si>
    <t>Ardning/Stmk.</t>
  </si>
  <si>
    <t>Berg-Power Team Ardning</t>
  </si>
  <si>
    <t>Gebeshuber Franz</t>
  </si>
  <si>
    <t>Nußbach/OÖ</t>
  </si>
  <si>
    <t>MSC Molln</t>
  </si>
  <si>
    <t>Eingang Günther</t>
  </si>
  <si>
    <t>Bad Mitterndorf/Stmk.</t>
  </si>
  <si>
    <t>Mayr Mario</t>
  </si>
  <si>
    <t>Kematen/OÖ</t>
  </si>
  <si>
    <t>Schacherleitner Ernst</t>
  </si>
  <si>
    <t>Vöcklabruck/OÖ</t>
  </si>
  <si>
    <t>RSC Regau Royal</t>
  </si>
  <si>
    <t>Zehetner Reini</t>
  </si>
  <si>
    <t>Schatz Christian</t>
  </si>
  <si>
    <t>Wolfsberg/Ktn.</t>
  </si>
  <si>
    <t>KTM 380</t>
  </si>
  <si>
    <t>Leibetzeder Christian</t>
  </si>
  <si>
    <t>MRC Sarlbeinsbach</t>
  </si>
  <si>
    <t>Wichtlhuber Johann</t>
  </si>
  <si>
    <t>Palling/D</t>
  </si>
  <si>
    <t>KTM 500</t>
  </si>
  <si>
    <t>MSC Kirchweidach</t>
  </si>
  <si>
    <t>Haslebner Fritz</t>
  </si>
  <si>
    <t>Judenburg EC- Auerling</t>
  </si>
  <si>
    <t>Jungwirth Herbert</t>
  </si>
  <si>
    <t>Kirchdorf/OÖ</t>
  </si>
  <si>
    <t xml:space="preserve">KTM 520 </t>
  </si>
  <si>
    <t>Göhler Andreas</t>
  </si>
  <si>
    <t>Hohenbrunn-München/D</t>
  </si>
  <si>
    <t>Husaberg FE600</t>
  </si>
  <si>
    <t>MSC Cambug</t>
  </si>
  <si>
    <t>Leibetzeder Erwin</t>
  </si>
  <si>
    <t>KTM EXC400</t>
  </si>
  <si>
    <t>Steinert Swen</t>
  </si>
  <si>
    <t>KTM Sturm</t>
  </si>
  <si>
    <t>Wagner Martin</t>
  </si>
  <si>
    <t>Peißenberg/D</t>
  </si>
  <si>
    <t>Maltan Markus</t>
  </si>
  <si>
    <t>Kawa 500 KX</t>
  </si>
  <si>
    <t>Heinz Toni</t>
  </si>
  <si>
    <t>Traunstein/D</t>
  </si>
  <si>
    <t>Team Schnitzlbaumer</t>
  </si>
  <si>
    <t>Gruschwitz Stev</t>
  </si>
  <si>
    <t>Waldkirchen/D</t>
  </si>
  <si>
    <t>ADAC</t>
  </si>
  <si>
    <t>Ölschuster Gottfried</t>
  </si>
  <si>
    <t>Frankenburg/OÖ</t>
  </si>
  <si>
    <t>HSV Ried</t>
  </si>
  <si>
    <t>Unterweger Christof</t>
  </si>
  <si>
    <t>Admont/Stmk.</t>
  </si>
  <si>
    <t>Schönegger Herbert</t>
  </si>
  <si>
    <t>St. Gallen/Stmk.</t>
  </si>
  <si>
    <t>Krenn Josef</t>
  </si>
  <si>
    <t>KTM 300</t>
  </si>
  <si>
    <t>EC Auerling</t>
  </si>
  <si>
    <t>Kraupe Marcel</t>
  </si>
  <si>
    <t>Schoder Erich</t>
  </si>
  <si>
    <t>Loibnegger Wolfgang</t>
  </si>
  <si>
    <t>St. Andrä/Ktn.</t>
  </si>
  <si>
    <t>MCE Graf</t>
  </si>
  <si>
    <t>Rojer Gerfried</t>
  </si>
  <si>
    <t>Schladming/Stmk.</t>
  </si>
  <si>
    <t>KTM 525 EXC</t>
  </si>
  <si>
    <t>MSC-Oberhaus</t>
  </si>
  <si>
    <t>Seifried Andreas</t>
  </si>
  <si>
    <t>Eberschwang/OÖ</t>
  </si>
  <si>
    <t>KTM 400 EXC</t>
  </si>
  <si>
    <t>ESC Eberschwang</t>
  </si>
  <si>
    <t>Eder Thomas</t>
  </si>
  <si>
    <t>Zöchbauer Rene</t>
  </si>
  <si>
    <t>Yamaha WR 426</t>
  </si>
  <si>
    <t>Schulze Hannes</t>
  </si>
  <si>
    <t>Schkölen/D</t>
  </si>
  <si>
    <t>MSV Kühns Höhe</t>
  </si>
  <si>
    <t>Ilgen Rene</t>
  </si>
  <si>
    <t>Thüringen/D</t>
  </si>
  <si>
    <t>Kawasaki</t>
  </si>
  <si>
    <t>MSTC-Gembtental</t>
  </si>
  <si>
    <t>Putz Thomas</t>
  </si>
  <si>
    <t>Bad Goisern/OÖ</t>
  </si>
  <si>
    <t>YZ426</t>
  </si>
  <si>
    <t>MRC Bad Ischl</t>
  </si>
  <si>
    <t>Deromedis Thomas</t>
  </si>
  <si>
    <t>KTM EXC300</t>
  </si>
  <si>
    <t>Kaudwuala</t>
  </si>
  <si>
    <t>Bergmeister Rudolf</t>
  </si>
  <si>
    <t>Vorchdorf/OÖ</t>
  </si>
  <si>
    <t>Kawasaki 250</t>
  </si>
  <si>
    <t>HSV Wels/Helten</t>
  </si>
  <si>
    <t>Resch Stefan</t>
  </si>
  <si>
    <t>Wasinger Nicolas</t>
  </si>
  <si>
    <t>Rosenau/NÖ</t>
  </si>
  <si>
    <t>HONDA CR250</t>
  </si>
  <si>
    <t>RC Kematen</t>
  </si>
  <si>
    <t>Immler Thorsten</t>
  </si>
  <si>
    <t>Steinbach/Steyr-OÖ</t>
  </si>
  <si>
    <t>Yamaha WR400</t>
  </si>
  <si>
    <t>Rolsch Andre´</t>
  </si>
  <si>
    <t>Weißenborn-Thüringen/D</t>
  </si>
  <si>
    <t>Sollacher Hubert</t>
  </si>
  <si>
    <t>Surberg/D</t>
  </si>
  <si>
    <t>Husqvarna TC610</t>
  </si>
  <si>
    <t>Henning Thomas</t>
  </si>
  <si>
    <t>Unterstetten/D</t>
  </si>
  <si>
    <t>Swingerclub</t>
  </si>
  <si>
    <t>Kremsmayr Gerhard</t>
  </si>
  <si>
    <t>Garsten/OÖ</t>
  </si>
  <si>
    <t>KTM 450 SX</t>
  </si>
  <si>
    <t>MCC Behamberg</t>
  </si>
  <si>
    <t>Loibl Peter</t>
  </si>
  <si>
    <t>Waidhofen/NÖ</t>
  </si>
  <si>
    <t>Yamaha 250</t>
  </si>
  <si>
    <t>Mösenbacher Jürgen</t>
  </si>
  <si>
    <t>Lassing/Stmk.</t>
  </si>
  <si>
    <t>Bio Bauern Team Lassing</t>
  </si>
  <si>
    <t>Krump Fritz</t>
  </si>
  <si>
    <t>Liezen/Stmk.</t>
  </si>
  <si>
    <t>Haselmaier Franz</t>
  </si>
  <si>
    <t>Neubacher Andreas</t>
  </si>
  <si>
    <t>Steeg/OÖ</t>
  </si>
  <si>
    <t>YZ</t>
  </si>
  <si>
    <t>2 Rad Unterberger</t>
  </si>
  <si>
    <t>Grundler Peter</t>
  </si>
  <si>
    <t>Pettendorf/OÖ</t>
  </si>
  <si>
    <t>KX 250</t>
  </si>
  <si>
    <t>Stammtisch Staahagl</t>
  </si>
  <si>
    <t>Mayr Markus</t>
  </si>
  <si>
    <t>St.Gallen/Stmk.</t>
  </si>
  <si>
    <t>HONDA XR 600</t>
  </si>
  <si>
    <t>Senfreit</t>
  </si>
  <si>
    <t>Schulze Ingo</t>
  </si>
  <si>
    <t>Goldgruber Robert</t>
  </si>
  <si>
    <t>Senfreid</t>
  </si>
  <si>
    <t>Grantner Erich</t>
  </si>
  <si>
    <t xml:space="preserve">Rieger Matthias </t>
  </si>
  <si>
    <t>Grossberg/D</t>
  </si>
  <si>
    <t>HONDA CRF 450</t>
  </si>
  <si>
    <t>MSC Saal</t>
  </si>
  <si>
    <t>Fiedler Johannes</t>
  </si>
  <si>
    <t>Fussi Josef</t>
  </si>
  <si>
    <t>Mehringer Walter</t>
  </si>
  <si>
    <t>Hörsching/OÖ</t>
  </si>
  <si>
    <t>MX-Kids</t>
  </si>
  <si>
    <t>Leucht Rene´</t>
  </si>
  <si>
    <t>Jena/D</t>
  </si>
  <si>
    <t>Gas Gas 250</t>
  </si>
  <si>
    <t>Maltan Bernhard</t>
  </si>
  <si>
    <t>Suzuki 250 RM</t>
  </si>
  <si>
    <t>Aschenberger Robert</t>
  </si>
  <si>
    <t>Kawa 250</t>
  </si>
  <si>
    <t>RC Raitenberg</t>
  </si>
  <si>
    <t>Leitner Christian</t>
  </si>
  <si>
    <t>Pillmaier Reinhard</t>
  </si>
  <si>
    <t>Kalheim/D</t>
  </si>
  <si>
    <t>MC Saal</t>
  </si>
  <si>
    <t>Huemer Wolfgang</t>
  </si>
  <si>
    <t>YZ 400</t>
  </si>
  <si>
    <t>MSC Klengel</t>
  </si>
  <si>
    <t>Winkler Andreas</t>
  </si>
  <si>
    <t>Micheldorf/OÖ</t>
  </si>
  <si>
    <t>KTM 500 GS</t>
  </si>
  <si>
    <t>Mazda Motorsport</t>
  </si>
  <si>
    <t>Gassner Horst</t>
  </si>
  <si>
    <t>Steyr/OÖ</t>
  </si>
  <si>
    <t>LC 4</t>
  </si>
  <si>
    <t>Supermoto Team Hiho</t>
  </si>
  <si>
    <t>Ragger Christian</t>
  </si>
  <si>
    <t>Steinbach/Attersee-OÖ</t>
  </si>
  <si>
    <t>Zeiler Emmerich</t>
  </si>
  <si>
    <t>Enduro Team Kremstal</t>
  </si>
  <si>
    <t>Poguda Michael</t>
  </si>
  <si>
    <t>Mittenhuber Richard</t>
  </si>
  <si>
    <t>Mattl Michi</t>
  </si>
  <si>
    <t>Velden/Ktn.</t>
  </si>
  <si>
    <t>KTM 400</t>
  </si>
  <si>
    <t>Tarco Racing Team</t>
  </si>
  <si>
    <t>Kaltenegger Eligius</t>
  </si>
  <si>
    <t>Obdach/Stmk.</t>
  </si>
  <si>
    <t>Rieger Manfred</t>
  </si>
  <si>
    <t>Pentling-Grossberg/D</t>
  </si>
  <si>
    <t>Husaberg 400</t>
  </si>
  <si>
    <t>Bruckner Patrick</t>
  </si>
  <si>
    <t>Velm-Götzendorf/NÖ</t>
  </si>
  <si>
    <t>Stephan Thomas</t>
  </si>
  <si>
    <t>schneizlroith/D</t>
  </si>
  <si>
    <t>Kaltenegger Peter</t>
  </si>
  <si>
    <t>Sohm Emmerich</t>
  </si>
  <si>
    <t>Doren/Vbg.</t>
  </si>
  <si>
    <t>Gassner Rene</t>
  </si>
  <si>
    <t>Häckl Peter</t>
  </si>
  <si>
    <t>Saal/D</t>
  </si>
  <si>
    <t>Elecosta Herbert</t>
  </si>
  <si>
    <t>Berchtesgarden/D</t>
  </si>
  <si>
    <t>KTM 360</t>
  </si>
  <si>
    <t xml:space="preserve">Kaltenegger Georg </t>
  </si>
  <si>
    <t>Schichl Josef</t>
  </si>
  <si>
    <t>Gas  Gas</t>
  </si>
  <si>
    <t>MC Penzberg</t>
  </si>
  <si>
    <t>Weber Wilko</t>
  </si>
  <si>
    <t>Blindlhofer Sepp</t>
  </si>
  <si>
    <t>Heigl Franz</t>
  </si>
  <si>
    <t>Husquvarna 400</t>
  </si>
  <si>
    <t xml:space="preserve">Rager Andreas </t>
  </si>
  <si>
    <t>Jantschge Johannes</t>
  </si>
  <si>
    <t>St.Andrä/Ktn.</t>
  </si>
  <si>
    <t>WR 400</t>
  </si>
  <si>
    <t>Grossauer Gerhard</t>
  </si>
  <si>
    <t>Janker Konrad</t>
  </si>
  <si>
    <t>Regensburg/D</t>
  </si>
  <si>
    <t>Krawanja Helmut</t>
  </si>
  <si>
    <t>Kawasaki KX 250</t>
  </si>
  <si>
    <t>Perner Bernd</t>
  </si>
  <si>
    <t>Schwarz-bunt Zuchtverband</t>
  </si>
  <si>
    <t>Hackl Karl</t>
  </si>
  <si>
    <t>Bad Zell/OÖ</t>
  </si>
  <si>
    <t>Yamaha</t>
  </si>
  <si>
    <t>Taubenschlag</t>
  </si>
  <si>
    <t>Redlinger Hannes</t>
  </si>
  <si>
    <t>Zipf/OÖ</t>
  </si>
  <si>
    <t>Schmidbauer Michael</t>
  </si>
  <si>
    <t>Berthold Leo</t>
  </si>
  <si>
    <t>Schobesberger Adi</t>
  </si>
  <si>
    <t>Timelkam/OÖ</t>
  </si>
  <si>
    <t>HONDA XR 400</t>
  </si>
  <si>
    <t>Harster Thomas</t>
  </si>
  <si>
    <t>Heitmann Swen</t>
  </si>
  <si>
    <t xml:space="preserve">Husaberg     </t>
  </si>
  <si>
    <t>Terschl Wolfgang</t>
  </si>
  <si>
    <t>Bad Hall/OÖ</t>
  </si>
  <si>
    <t>SCHMIDI-HONDA</t>
  </si>
  <si>
    <t>Bauregger Roman</t>
  </si>
  <si>
    <t>Schweinfurth/D</t>
  </si>
  <si>
    <t>Gruber Johann</t>
  </si>
  <si>
    <t>Molln/OÖ</t>
  </si>
  <si>
    <t>HONDA XR440</t>
  </si>
  <si>
    <t>MSC-Molln</t>
  </si>
  <si>
    <t>17. Int. Steilhangrennen Molln/ Ramsau</t>
  </si>
  <si>
    <t>Klasse Standard</t>
  </si>
  <si>
    <t>28./29.6.2003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</si>
</sst>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ln2003%20Tra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lln2003%2085cc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lln2003%20DAM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olln2003%20125cc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olln2003%20Spez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l"/>
    </sheetNames>
    <sheetDataSet>
      <sheetData sheetId="0">
        <row r="6">
          <cell r="A6" t="str">
            <v>Rang</v>
          </cell>
          <cell r="B6" t="str">
            <v>St.Nr.</v>
          </cell>
          <cell r="C6" t="str">
            <v>Name</v>
          </cell>
          <cell r="D6" t="str">
            <v>Ort/Land</v>
          </cell>
          <cell r="E6" t="str">
            <v>Motorrad</v>
          </cell>
          <cell r="F6" t="str">
            <v>Club</v>
          </cell>
          <cell r="G6" t="str">
            <v>Klasse</v>
          </cell>
          <cell r="H6" t="str">
            <v>Klasse</v>
          </cell>
          <cell r="I6" t="str">
            <v>1.Training</v>
          </cell>
          <cell r="J6" t="str">
            <v>2.Training</v>
          </cell>
          <cell r="K6" t="str">
            <v>1.Durchgang</v>
          </cell>
          <cell r="L6" t="str">
            <v>2.Durchgang</v>
          </cell>
          <cell r="M6" t="str">
            <v>Min</v>
          </cell>
          <cell r="N6" t="str">
            <v>Max</v>
          </cell>
        </row>
        <row r="7">
          <cell r="A7">
            <v>1</v>
          </cell>
          <cell r="B7">
            <v>248</v>
          </cell>
          <cell r="C7" t="str">
            <v>Schmidinger Günter</v>
          </cell>
          <cell r="D7" t="str">
            <v>Waldneukirchen/OÖ</v>
          </cell>
          <cell r="E7" t="str">
            <v>HONDA Cota 315</v>
          </cell>
          <cell r="F7" t="str">
            <v>MSC Molln/TERSCHL</v>
          </cell>
          <cell r="G7" t="str">
            <v>Trail</v>
          </cell>
          <cell r="I7">
            <v>125</v>
          </cell>
          <cell r="J7">
            <v>126</v>
          </cell>
          <cell r="K7">
            <v>144</v>
          </cell>
          <cell r="L7">
            <v>0</v>
          </cell>
          <cell r="M7">
            <v>0</v>
          </cell>
          <cell r="N7">
            <v>144</v>
          </cell>
        </row>
        <row r="8">
          <cell r="A8">
            <v>2</v>
          </cell>
          <cell r="B8">
            <v>256</v>
          </cell>
          <cell r="C8" t="str">
            <v>Schnell Reinhard</v>
          </cell>
          <cell r="D8" t="str">
            <v>Lauter/D</v>
          </cell>
          <cell r="E8" t="str">
            <v>Gas Gas    </v>
          </cell>
          <cell r="F8" t="str">
            <v>TC Mackham</v>
          </cell>
          <cell r="G8" t="str">
            <v>Trail</v>
          </cell>
          <cell r="I8">
            <v>115</v>
          </cell>
          <cell r="J8">
            <v>81</v>
          </cell>
          <cell r="K8">
            <v>113</v>
          </cell>
          <cell r="L8">
            <v>124</v>
          </cell>
          <cell r="M8">
            <v>113</v>
          </cell>
          <cell r="N8">
            <v>124</v>
          </cell>
        </row>
        <row r="9">
          <cell r="A9">
            <v>3</v>
          </cell>
          <cell r="B9">
            <v>265</v>
          </cell>
          <cell r="C9" t="str">
            <v>Kraus Sigi</v>
          </cell>
          <cell r="D9" t="str">
            <v>Vöcklabruck/OÖ</v>
          </cell>
          <cell r="E9" t="str">
            <v>Beta</v>
          </cell>
          <cell r="F9" t="str">
            <v>RSC Regau Royal</v>
          </cell>
          <cell r="G9" t="str">
            <v>Trail</v>
          </cell>
          <cell r="I9">
            <v>111</v>
          </cell>
          <cell r="J9">
            <v>114</v>
          </cell>
          <cell r="K9">
            <v>108</v>
          </cell>
          <cell r="L9">
            <v>88</v>
          </cell>
          <cell r="M9">
            <v>88</v>
          </cell>
          <cell r="N9">
            <v>108</v>
          </cell>
        </row>
        <row r="10">
          <cell r="A10">
            <v>4</v>
          </cell>
          <cell r="B10">
            <v>254</v>
          </cell>
          <cell r="C10" t="str">
            <v>Schobesberger Adi</v>
          </cell>
          <cell r="D10" t="str">
            <v>Timelkam/OÖ</v>
          </cell>
          <cell r="E10" t="str">
            <v>Sherco</v>
          </cell>
          <cell r="F10" t="str">
            <v>Royal RSC Regau</v>
          </cell>
          <cell r="G10" t="str">
            <v>Trail</v>
          </cell>
          <cell r="I10">
            <v>130</v>
          </cell>
          <cell r="J10">
            <v>126</v>
          </cell>
          <cell r="K10">
            <v>107</v>
          </cell>
          <cell r="L10">
            <v>100</v>
          </cell>
          <cell r="M10">
            <v>100</v>
          </cell>
          <cell r="N10">
            <v>107</v>
          </cell>
        </row>
        <row r="11">
          <cell r="A11">
            <v>5</v>
          </cell>
          <cell r="B11">
            <v>250</v>
          </cell>
          <cell r="C11" t="str">
            <v>Schacherleitner Ernst</v>
          </cell>
          <cell r="D11" t="str">
            <v>Vöcklabruck/OÖ</v>
          </cell>
          <cell r="E11" t="str">
            <v>Sherco</v>
          </cell>
          <cell r="F11" t="str">
            <v>RSC Regau Royal</v>
          </cell>
          <cell r="G11" t="str">
            <v>Trail</v>
          </cell>
          <cell r="I11">
            <v>101</v>
          </cell>
          <cell r="J11">
            <v>100</v>
          </cell>
          <cell r="K11">
            <v>100</v>
          </cell>
          <cell r="L11">
            <v>92</v>
          </cell>
          <cell r="M11">
            <v>92</v>
          </cell>
          <cell r="N11">
            <v>100</v>
          </cell>
        </row>
        <row r="12">
          <cell r="A12">
            <v>6</v>
          </cell>
          <cell r="B12">
            <v>264</v>
          </cell>
          <cell r="C12" t="str">
            <v>Adlhart Wolfgang</v>
          </cell>
          <cell r="D12" t="str">
            <v>Burgkirchen/D</v>
          </cell>
          <cell r="E12" t="str">
            <v>Sherco</v>
          </cell>
          <cell r="G12" t="str">
            <v>Trail</v>
          </cell>
          <cell r="I12">
            <v>92</v>
          </cell>
          <cell r="J12">
            <v>63</v>
          </cell>
          <cell r="K12">
            <v>98</v>
          </cell>
          <cell r="L12">
            <v>60</v>
          </cell>
          <cell r="M12">
            <v>60</v>
          </cell>
          <cell r="N12">
            <v>98</v>
          </cell>
        </row>
        <row r="13">
          <cell r="A13">
            <v>7</v>
          </cell>
          <cell r="B13">
            <v>255</v>
          </cell>
          <cell r="C13" t="str">
            <v>Pietsch Oliver</v>
          </cell>
          <cell r="D13" t="str">
            <v>Timelkam/OÖ</v>
          </cell>
          <cell r="E13" t="str">
            <v>Beta</v>
          </cell>
          <cell r="F13" t="str">
            <v>RSC Regau Royal</v>
          </cell>
          <cell r="G13" t="str">
            <v>Trail</v>
          </cell>
          <cell r="I13">
            <v>99</v>
          </cell>
          <cell r="J13">
            <v>87</v>
          </cell>
          <cell r="K13">
            <v>82</v>
          </cell>
          <cell r="L13">
            <v>90</v>
          </cell>
          <cell r="M13">
            <v>82</v>
          </cell>
          <cell r="N13">
            <v>90</v>
          </cell>
        </row>
        <row r="14">
          <cell r="A14">
            <v>8</v>
          </cell>
          <cell r="B14">
            <v>252</v>
          </cell>
          <cell r="C14" t="str">
            <v>Ritz Oliver</v>
          </cell>
          <cell r="D14" t="str">
            <v>Zella/D</v>
          </cell>
          <cell r="G14" t="str">
            <v>Trail</v>
          </cell>
          <cell r="I14">
            <v>90</v>
          </cell>
          <cell r="J14">
            <v>83</v>
          </cell>
          <cell r="K14">
            <v>87</v>
          </cell>
          <cell r="L14">
            <v>87</v>
          </cell>
          <cell r="M14">
            <v>87</v>
          </cell>
          <cell r="N14">
            <v>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85_ccm"/>
    </sheetNames>
    <sheetDataSet>
      <sheetData sheetId="0">
        <row r="6">
          <cell r="A6" t="str">
            <v>Rang</v>
          </cell>
          <cell r="B6" t="str">
            <v>St.Nr.</v>
          </cell>
          <cell r="C6" t="str">
            <v>Name</v>
          </cell>
          <cell r="D6" t="str">
            <v>Ort/Land</v>
          </cell>
          <cell r="E6" t="str">
            <v>Motorrad</v>
          </cell>
          <cell r="F6" t="str">
            <v>Club</v>
          </cell>
          <cell r="G6" t="str">
            <v>Klasse</v>
          </cell>
          <cell r="H6" t="str">
            <v>Unterschrift</v>
          </cell>
          <cell r="I6" t="str">
            <v>1.Training</v>
          </cell>
          <cell r="J6" t="str">
            <v>2.Training</v>
          </cell>
          <cell r="K6" t="str">
            <v>1.Durchgang</v>
          </cell>
          <cell r="L6" t="str">
            <v>2.Durchgang</v>
          </cell>
          <cell r="M6" t="str">
            <v>Min</v>
          </cell>
          <cell r="N6" t="str">
            <v>Max</v>
          </cell>
        </row>
        <row r="7">
          <cell r="A7">
            <v>1</v>
          </cell>
          <cell r="B7">
            <v>16</v>
          </cell>
          <cell r="C7" t="str">
            <v>Kasper Kevin</v>
          </cell>
          <cell r="D7" t="str">
            <v>Kirchdorf/OÖ</v>
          </cell>
          <cell r="E7" t="str">
            <v>HONDA</v>
          </cell>
          <cell r="F7" t="str">
            <v>HRT Schmidinger</v>
          </cell>
          <cell r="G7" t="str">
            <v>_85_ccm</v>
          </cell>
          <cell r="I7">
            <v>95</v>
          </cell>
          <cell r="J7">
            <v>100</v>
          </cell>
          <cell r="K7">
            <v>115</v>
          </cell>
          <cell r="L7">
            <v>99</v>
          </cell>
          <cell r="M7">
            <v>99</v>
          </cell>
          <cell r="N7">
            <v>115</v>
          </cell>
        </row>
        <row r="8">
          <cell r="A8">
            <v>2</v>
          </cell>
          <cell r="B8">
            <v>15</v>
          </cell>
          <cell r="C8" t="str">
            <v>Gebeshuber Martin</v>
          </cell>
          <cell r="D8" t="str">
            <v>Nußbach/OÖ</v>
          </cell>
          <cell r="E8" t="str">
            <v>HONDA</v>
          </cell>
          <cell r="F8" t="str">
            <v>HRT Schmidinger</v>
          </cell>
          <cell r="G8" t="str">
            <v>_85_ccm</v>
          </cell>
          <cell r="I8">
            <v>95</v>
          </cell>
          <cell r="J8">
            <v>95</v>
          </cell>
          <cell r="K8">
            <v>110</v>
          </cell>
          <cell r="L8">
            <v>103</v>
          </cell>
          <cell r="M8">
            <v>103</v>
          </cell>
          <cell r="N8">
            <v>110</v>
          </cell>
        </row>
        <row r="9">
          <cell r="A9">
            <v>3</v>
          </cell>
          <cell r="B9">
            <v>14</v>
          </cell>
          <cell r="C9" t="str">
            <v>Kurz Mario</v>
          </cell>
          <cell r="D9" t="str">
            <v>Ried-Tr./OÖ</v>
          </cell>
          <cell r="E9" t="str">
            <v>HONDA CR 85</v>
          </cell>
          <cell r="F9" t="str">
            <v>MX Kids Ried/Traunkreis</v>
          </cell>
          <cell r="G9" t="str">
            <v>_85_ccm</v>
          </cell>
          <cell r="I9">
            <v>64</v>
          </cell>
          <cell r="K9">
            <v>90</v>
          </cell>
          <cell r="L9">
            <v>83</v>
          </cell>
          <cell r="M9">
            <v>83</v>
          </cell>
          <cell r="N9">
            <v>90</v>
          </cell>
        </row>
        <row r="10">
          <cell r="A10">
            <v>4</v>
          </cell>
          <cell r="B10">
            <v>11</v>
          </cell>
          <cell r="C10" t="str">
            <v>Müller Alexander</v>
          </cell>
          <cell r="D10" t="str">
            <v>Buchkirchen/OÖ</v>
          </cell>
          <cell r="E10" t="str">
            <v>Kawasaki</v>
          </cell>
          <cell r="F10" t="str">
            <v>MX Kids Ried/Traunkreis</v>
          </cell>
          <cell r="G10" t="str">
            <v>_85_ccm</v>
          </cell>
          <cell r="I10">
            <v>70</v>
          </cell>
          <cell r="J10">
            <v>73</v>
          </cell>
          <cell r="K10">
            <v>70</v>
          </cell>
          <cell r="L10">
            <v>80</v>
          </cell>
          <cell r="M10">
            <v>70</v>
          </cell>
          <cell r="N10">
            <v>80</v>
          </cell>
        </row>
        <row r="11">
          <cell r="A11">
            <v>4</v>
          </cell>
          <cell r="B11">
            <v>12</v>
          </cell>
          <cell r="C11" t="str">
            <v>Sollacher Michael</v>
          </cell>
          <cell r="D11" t="str">
            <v>Surberg/D</v>
          </cell>
          <cell r="E11" t="str">
            <v>HONDA CR 80</v>
          </cell>
          <cell r="G11" t="str">
            <v>_85_ccm</v>
          </cell>
          <cell r="I11">
            <v>80</v>
          </cell>
          <cell r="J11">
            <v>77</v>
          </cell>
          <cell r="K11">
            <v>80</v>
          </cell>
          <cell r="L11">
            <v>70</v>
          </cell>
          <cell r="M11">
            <v>70</v>
          </cell>
          <cell r="N11">
            <v>80</v>
          </cell>
        </row>
        <row r="12">
          <cell r="A12">
            <v>6</v>
          </cell>
          <cell r="B12">
            <v>17</v>
          </cell>
          <cell r="C12" t="str">
            <v>Schmidthaler Andreas</v>
          </cell>
          <cell r="D12" t="str">
            <v>Leonstein/OÖ</v>
          </cell>
          <cell r="E12" t="str">
            <v>HONDA</v>
          </cell>
          <cell r="F12" t="str">
            <v>MSC Molln</v>
          </cell>
          <cell r="G12" t="str">
            <v>_85_ccm</v>
          </cell>
          <cell r="I12">
            <v>70</v>
          </cell>
          <cell r="J12">
            <v>80</v>
          </cell>
          <cell r="K12">
            <v>78</v>
          </cell>
          <cell r="L12">
            <v>63</v>
          </cell>
          <cell r="M12">
            <v>63</v>
          </cell>
          <cell r="N12">
            <v>78</v>
          </cell>
        </row>
        <row r="13">
          <cell r="A13">
            <v>7</v>
          </cell>
          <cell r="B13">
            <v>1</v>
          </cell>
          <cell r="C13" t="str">
            <v>Englmeier Daniel</v>
          </cell>
          <cell r="D13" t="str">
            <v>Eberstallzell/OÖ</v>
          </cell>
          <cell r="E13" t="str">
            <v>Yamaha</v>
          </cell>
          <cell r="F13" t="str">
            <v>MX Kids Ried/Traunkreis</v>
          </cell>
          <cell r="G13" t="str">
            <v>_85_ccm</v>
          </cell>
          <cell r="I13">
            <v>68</v>
          </cell>
          <cell r="J13">
            <v>65</v>
          </cell>
          <cell r="K13">
            <v>74</v>
          </cell>
          <cell r="L13">
            <v>45</v>
          </cell>
          <cell r="M13">
            <v>45</v>
          </cell>
          <cell r="N13">
            <v>74</v>
          </cell>
        </row>
        <row r="14">
          <cell r="A14">
            <v>8</v>
          </cell>
          <cell r="B14">
            <v>3</v>
          </cell>
          <cell r="C14" t="str">
            <v>Rosenegger Patrick</v>
          </cell>
          <cell r="D14" t="str">
            <v>Molln/OÖ</v>
          </cell>
          <cell r="E14" t="str">
            <v>HONDA</v>
          </cell>
          <cell r="F14" t="str">
            <v>MSC Molln</v>
          </cell>
          <cell r="G14" t="str">
            <v>_85_ccm</v>
          </cell>
          <cell r="I14">
            <v>75</v>
          </cell>
          <cell r="J14">
            <v>68</v>
          </cell>
          <cell r="K14">
            <v>59</v>
          </cell>
          <cell r="L14">
            <v>73</v>
          </cell>
          <cell r="M14">
            <v>59</v>
          </cell>
          <cell r="N14">
            <v>73</v>
          </cell>
        </row>
        <row r="15">
          <cell r="A15">
            <v>9</v>
          </cell>
          <cell r="B15">
            <v>2</v>
          </cell>
          <cell r="C15" t="str">
            <v>Wimmer Simon</v>
          </cell>
          <cell r="D15" t="str">
            <v>Steinhaus/Wels-OÖ</v>
          </cell>
          <cell r="E15" t="str">
            <v>Yamaha</v>
          </cell>
          <cell r="F15" t="str">
            <v>MX Kids Ried/Traunkreis</v>
          </cell>
          <cell r="G15" t="str">
            <v>_85_ccm</v>
          </cell>
          <cell r="J15">
            <v>57</v>
          </cell>
          <cell r="K15">
            <v>72</v>
          </cell>
          <cell r="L15">
            <v>70</v>
          </cell>
          <cell r="M15">
            <v>70</v>
          </cell>
          <cell r="N15">
            <v>72</v>
          </cell>
        </row>
        <row r="16">
          <cell r="A16">
            <v>10</v>
          </cell>
          <cell r="B16">
            <v>10</v>
          </cell>
          <cell r="C16" t="str">
            <v>Mehringer Manuel</v>
          </cell>
          <cell r="D16" t="str">
            <v>Hörsching/OÖ</v>
          </cell>
          <cell r="E16" t="str">
            <v>Kawasaki 60</v>
          </cell>
          <cell r="F16" t="str">
            <v>MX-Kids</v>
          </cell>
          <cell r="G16" t="str">
            <v>_85_ccm</v>
          </cell>
          <cell r="I16">
            <v>78</v>
          </cell>
          <cell r="J16">
            <v>54</v>
          </cell>
          <cell r="K16">
            <v>54</v>
          </cell>
          <cell r="L16">
            <v>58</v>
          </cell>
          <cell r="M16">
            <v>54</v>
          </cell>
          <cell r="N16">
            <v>58</v>
          </cell>
        </row>
        <row r="17">
          <cell r="A17">
            <v>11</v>
          </cell>
          <cell r="B17">
            <v>13</v>
          </cell>
          <cell r="C17" t="str">
            <v>Schmidbauer Peter</v>
          </cell>
          <cell r="D17" t="str">
            <v>Großberg/D</v>
          </cell>
          <cell r="E17" t="str">
            <v>Kawasaki</v>
          </cell>
          <cell r="F17" t="str">
            <v>MC Saal</v>
          </cell>
          <cell r="G17" t="str">
            <v>_85_ccm</v>
          </cell>
          <cell r="I17">
            <v>71</v>
          </cell>
          <cell r="J17">
            <v>45</v>
          </cell>
          <cell r="K17">
            <v>50</v>
          </cell>
          <cell r="L17">
            <v>42</v>
          </cell>
          <cell r="M17">
            <v>42</v>
          </cell>
          <cell r="N17">
            <v>50</v>
          </cell>
        </row>
        <row r="18">
          <cell r="A18">
            <v>12</v>
          </cell>
          <cell r="B18">
            <v>7</v>
          </cell>
          <cell r="C18" t="str">
            <v>Thomas Jörg</v>
          </cell>
          <cell r="D18" t="str">
            <v>Ried-Tr./OÖ</v>
          </cell>
          <cell r="E18" t="str">
            <v>KTM 50</v>
          </cell>
          <cell r="F18" t="str">
            <v>MX Kids Ried/Traunkreis</v>
          </cell>
          <cell r="G18" t="str">
            <v>_85_ccm</v>
          </cell>
          <cell r="I18">
            <v>48</v>
          </cell>
          <cell r="J18">
            <v>43</v>
          </cell>
          <cell r="K18">
            <v>32</v>
          </cell>
          <cell r="L18">
            <v>28</v>
          </cell>
          <cell r="M18">
            <v>28</v>
          </cell>
          <cell r="N18">
            <v>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MEN"/>
    </sheetNames>
    <sheetDataSet>
      <sheetData sheetId="0">
        <row r="6">
          <cell r="A6" t="str">
            <v>Rang</v>
          </cell>
          <cell r="B6" t="str">
            <v>St.Nr.</v>
          </cell>
          <cell r="C6" t="str">
            <v>Name</v>
          </cell>
          <cell r="D6" t="str">
            <v>Ort/Land</v>
          </cell>
          <cell r="E6" t="str">
            <v>Motorrad</v>
          </cell>
          <cell r="F6" t="str">
            <v>Club</v>
          </cell>
          <cell r="G6" t="str">
            <v>Klasse</v>
          </cell>
          <cell r="H6" t="str">
            <v>Unterschrift</v>
          </cell>
          <cell r="I6" t="str">
            <v>1.Training</v>
          </cell>
          <cell r="J6" t="str">
            <v>2.Training</v>
          </cell>
          <cell r="K6" t="str">
            <v>1.Durchgang</v>
          </cell>
          <cell r="L6" t="str">
            <v>2.Durchgang</v>
          </cell>
          <cell r="M6" t="str">
            <v>Min</v>
          </cell>
          <cell r="N6" t="str">
            <v>Max</v>
          </cell>
        </row>
        <row r="7">
          <cell r="A7">
            <v>1</v>
          </cell>
          <cell r="B7">
            <v>8</v>
          </cell>
          <cell r="C7" t="str">
            <v>Häckl Sabrina</v>
          </cell>
          <cell r="D7" t="str">
            <v>Saal/D</v>
          </cell>
          <cell r="E7" t="str">
            <v>Kawasaki</v>
          </cell>
          <cell r="F7" t="str">
            <v>MC Saal</v>
          </cell>
          <cell r="G7" t="str">
            <v>DAMEN</v>
          </cell>
          <cell r="I7">
            <v>84</v>
          </cell>
          <cell r="J7">
            <v>80</v>
          </cell>
          <cell r="K7">
            <v>79</v>
          </cell>
          <cell r="L7">
            <v>88</v>
          </cell>
          <cell r="M7">
            <v>79</v>
          </cell>
          <cell r="N7">
            <v>88</v>
          </cell>
        </row>
        <row r="8">
          <cell r="A8">
            <v>2</v>
          </cell>
          <cell r="B8">
            <v>22</v>
          </cell>
          <cell r="C8" t="str">
            <v>Grundner Tanja</v>
          </cell>
          <cell r="D8" t="str">
            <v>Steinbach-Attersee/OÖ</v>
          </cell>
          <cell r="E8" t="str">
            <v>KTM</v>
          </cell>
          <cell r="G8" t="str">
            <v>DAMEN</v>
          </cell>
          <cell r="I8">
            <v>70</v>
          </cell>
          <cell r="J8">
            <v>76</v>
          </cell>
          <cell r="K8">
            <v>86</v>
          </cell>
          <cell r="L8">
            <v>20</v>
          </cell>
          <cell r="M8">
            <v>20</v>
          </cell>
          <cell r="N8">
            <v>86</v>
          </cell>
        </row>
        <row r="9">
          <cell r="A9">
            <v>3</v>
          </cell>
          <cell r="B9">
            <v>4</v>
          </cell>
          <cell r="C9" t="str">
            <v>Häckl Jenny</v>
          </cell>
          <cell r="D9" t="str">
            <v>Saal/D</v>
          </cell>
          <cell r="E9" t="str">
            <v>Kawasaki    </v>
          </cell>
          <cell r="F9" t="str">
            <v>MC Saal</v>
          </cell>
          <cell r="G9" t="str">
            <v>DAMEN</v>
          </cell>
          <cell r="I9">
            <v>83</v>
          </cell>
          <cell r="J9">
            <v>91</v>
          </cell>
          <cell r="K9">
            <v>75</v>
          </cell>
          <cell r="L9">
            <v>63</v>
          </cell>
          <cell r="M9">
            <v>63</v>
          </cell>
          <cell r="N9">
            <v>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125_ccm"/>
    </sheetNames>
    <sheetDataSet>
      <sheetData sheetId="0">
        <row r="6">
          <cell r="A6" t="str">
            <v>Rang</v>
          </cell>
          <cell r="B6" t="str">
            <v>St.Nr.</v>
          </cell>
          <cell r="C6" t="str">
            <v>Name</v>
          </cell>
          <cell r="D6" t="str">
            <v>Ort/Land</v>
          </cell>
          <cell r="E6" t="str">
            <v>Motorrad</v>
          </cell>
          <cell r="F6" t="str">
            <v>Club</v>
          </cell>
          <cell r="G6" t="str">
            <v>Klasse</v>
          </cell>
          <cell r="H6" t="str">
            <v>Unterschrift</v>
          </cell>
          <cell r="I6" t="str">
            <v>1.Training</v>
          </cell>
          <cell r="J6" t="str">
            <v>2.Training</v>
          </cell>
          <cell r="K6" t="str">
            <v>1.Durchgang</v>
          </cell>
          <cell r="L6" t="str">
            <v>2.Durchgang</v>
          </cell>
          <cell r="M6" t="str">
            <v>Min</v>
          </cell>
          <cell r="N6" t="str">
            <v>Max</v>
          </cell>
        </row>
        <row r="7">
          <cell r="A7">
            <v>1</v>
          </cell>
          <cell r="B7">
            <v>48</v>
          </cell>
          <cell r="C7" t="str">
            <v>Schmidinger Andreas</v>
          </cell>
          <cell r="D7" t="str">
            <v>Waldneukirchen/OÖ</v>
          </cell>
          <cell r="E7" t="str">
            <v>HONDA</v>
          </cell>
          <cell r="F7" t="str">
            <v>MSC Molln/TERSCHL</v>
          </cell>
          <cell r="G7" t="str">
            <v>_125_ccm</v>
          </cell>
          <cell r="I7">
            <v>140</v>
          </cell>
          <cell r="J7">
            <v>150</v>
          </cell>
          <cell r="K7">
            <v>149</v>
          </cell>
          <cell r="L7">
            <v>163</v>
          </cell>
          <cell r="M7">
            <v>149</v>
          </cell>
          <cell r="N7">
            <v>163</v>
          </cell>
        </row>
        <row r="8">
          <cell r="A8">
            <v>2</v>
          </cell>
          <cell r="B8">
            <v>25</v>
          </cell>
          <cell r="C8" t="str">
            <v>Nonn Lars</v>
          </cell>
          <cell r="D8" t="str">
            <v>Dietzhausen/D</v>
          </cell>
          <cell r="E8" t="str">
            <v>KTM</v>
          </cell>
          <cell r="G8" t="str">
            <v>_125_ccm</v>
          </cell>
          <cell r="I8">
            <v>145</v>
          </cell>
          <cell r="J8">
            <v>134</v>
          </cell>
          <cell r="K8">
            <v>150</v>
          </cell>
          <cell r="L8">
            <v>150</v>
          </cell>
          <cell r="M8">
            <v>150</v>
          </cell>
          <cell r="N8">
            <v>150</v>
          </cell>
        </row>
        <row r="9">
          <cell r="A9">
            <v>3</v>
          </cell>
          <cell r="B9">
            <v>44</v>
          </cell>
          <cell r="C9" t="str">
            <v>Schmidinger Günter</v>
          </cell>
          <cell r="D9" t="str">
            <v>Waldneukirchen/OÖ</v>
          </cell>
          <cell r="E9" t="str">
            <v>HONDA</v>
          </cell>
          <cell r="F9" t="str">
            <v>MSC Molln/TERSCHL</v>
          </cell>
          <cell r="G9" t="str">
            <v>_125_ccm</v>
          </cell>
          <cell r="I9">
            <v>143</v>
          </cell>
          <cell r="J9">
            <v>165</v>
          </cell>
          <cell r="K9">
            <v>138</v>
          </cell>
          <cell r="L9">
            <v>150</v>
          </cell>
          <cell r="M9">
            <v>138</v>
          </cell>
          <cell r="N9">
            <v>150</v>
          </cell>
        </row>
        <row r="10">
          <cell r="A10">
            <v>4</v>
          </cell>
          <cell r="B10">
            <v>47</v>
          </cell>
          <cell r="C10" t="str">
            <v>Klotz Tobias</v>
          </cell>
          <cell r="D10" t="str">
            <v>Falkenau/D</v>
          </cell>
          <cell r="E10" t="str">
            <v>KTM</v>
          </cell>
          <cell r="F10" t="str">
            <v>MC Mittleres Erzgebirge</v>
          </cell>
          <cell r="G10" t="str">
            <v>_125_ccm</v>
          </cell>
          <cell r="I10">
            <v>111</v>
          </cell>
          <cell r="J10">
            <v>113</v>
          </cell>
          <cell r="K10">
            <v>127</v>
          </cell>
          <cell r="L10">
            <v>146</v>
          </cell>
          <cell r="M10">
            <v>127</v>
          </cell>
          <cell r="N10">
            <v>146</v>
          </cell>
        </row>
        <row r="11">
          <cell r="A11">
            <v>5</v>
          </cell>
          <cell r="B11">
            <v>31</v>
          </cell>
          <cell r="C11" t="str">
            <v>Ritz Oliver</v>
          </cell>
          <cell r="D11" t="str">
            <v>Zella/D</v>
          </cell>
          <cell r="E11" t="str">
            <v>KTM</v>
          </cell>
          <cell r="G11" t="str">
            <v>_125_ccm</v>
          </cell>
          <cell r="I11">
            <v>125</v>
          </cell>
          <cell r="J11">
            <v>146</v>
          </cell>
          <cell r="K11">
            <v>144</v>
          </cell>
          <cell r="L11">
            <v>142</v>
          </cell>
          <cell r="M11">
            <v>142</v>
          </cell>
          <cell r="N11">
            <v>144</v>
          </cell>
        </row>
        <row r="12">
          <cell r="A12">
            <v>6</v>
          </cell>
          <cell r="B12">
            <v>27</v>
          </cell>
          <cell r="C12" t="str">
            <v>Raßbach Knut</v>
          </cell>
          <cell r="D12" t="str">
            <v>Brotterode/D</v>
          </cell>
          <cell r="E12" t="str">
            <v>KTM 125</v>
          </cell>
          <cell r="F12" t="str">
            <v>Team Bieberbach</v>
          </cell>
          <cell r="G12" t="str">
            <v>_125_ccm</v>
          </cell>
          <cell r="I12">
            <v>138</v>
          </cell>
          <cell r="J12">
            <v>123</v>
          </cell>
          <cell r="K12">
            <v>135</v>
          </cell>
          <cell r="L12">
            <v>141</v>
          </cell>
          <cell r="M12">
            <v>135</v>
          </cell>
          <cell r="N12">
            <v>141</v>
          </cell>
        </row>
        <row r="13">
          <cell r="A13">
            <v>7</v>
          </cell>
          <cell r="B13">
            <v>19</v>
          </cell>
          <cell r="C13" t="str">
            <v>Mayr Gerhard</v>
          </cell>
          <cell r="D13" t="str">
            <v>Buchkirchen/OÖ</v>
          </cell>
          <cell r="E13" t="str">
            <v>HONDA </v>
          </cell>
          <cell r="F13" t="str">
            <v>HSV Wels  </v>
          </cell>
          <cell r="G13" t="str">
            <v>_125_ccm</v>
          </cell>
          <cell r="I13">
            <v>122</v>
          </cell>
          <cell r="J13">
            <v>129</v>
          </cell>
          <cell r="K13">
            <v>136</v>
          </cell>
          <cell r="L13">
            <v>136</v>
          </cell>
          <cell r="M13">
            <v>136</v>
          </cell>
          <cell r="N13">
            <v>136</v>
          </cell>
        </row>
        <row r="14">
          <cell r="A14">
            <v>8</v>
          </cell>
          <cell r="B14">
            <v>306</v>
          </cell>
          <cell r="C14" t="str">
            <v>Kästner Daniel</v>
          </cell>
          <cell r="D14" t="str">
            <v>Saal/D</v>
          </cell>
          <cell r="E14" t="str">
            <v>KTM</v>
          </cell>
          <cell r="G14" t="str">
            <v>_125_ccm</v>
          </cell>
          <cell r="I14">
            <v>134</v>
          </cell>
          <cell r="J14">
            <v>99</v>
          </cell>
          <cell r="K14">
            <v>131</v>
          </cell>
          <cell r="L14">
            <v>136</v>
          </cell>
          <cell r="M14">
            <v>131</v>
          </cell>
          <cell r="N14">
            <v>136</v>
          </cell>
        </row>
        <row r="15">
          <cell r="A15">
            <v>9</v>
          </cell>
          <cell r="B15">
            <v>39</v>
          </cell>
          <cell r="C15" t="str">
            <v>Mayr Mario</v>
          </cell>
          <cell r="D15" t="str">
            <v>Kematen/OÖ</v>
          </cell>
          <cell r="E15" t="str">
            <v>HONDA</v>
          </cell>
          <cell r="G15" t="str">
            <v>_125_ccm</v>
          </cell>
          <cell r="I15">
            <v>112</v>
          </cell>
          <cell r="J15">
            <v>116</v>
          </cell>
          <cell r="K15">
            <v>134</v>
          </cell>
          <cell r="L15">
            <v>122</v>
          </cell>
          <cell r="M15">
            <v>122</v>
          </cell>
          <cell r="N15">
            <v>134</v>
          </cell>
        </row>
        <row r="16">
          <cell r="A16">
            <v>10</v>
          </cell>
          <cell r="B16">
            <v>41</v>
          </cell>
          <cell r="C16" t="str">
            <v>Schindler Thomas</v>
          </cell>
          <cell r="D16" t="str">
            <v>Regau/OÖ</v>
          </cell>
          <cell r="E16" t="str">
            <v>KTM</v>
          </cell>
          <cell r="F16" t="str">
            <v>MRC Aurach</v>
          </cell>
          <cell r="G16" t="str">
            <v>_125_ccm</v>
          </cell>
          <cell r="I16">
            <v>135</v>
          </cell>
          <cell r="J16">
            <v>118</v>
          </cell>
          <cell r="K16">
            <v>127</v>
          </cell>
          <cell r="L16">
            <v>132</v>
          </cell>
          <cell r="M16">
            <v>127</v>
          </cell>
          <cell r="N16">
            <v>132</v>
          </cell>
        </row>
        <row r="17">
          <cell r="A17">
            <v>11</v>
          </cell>
          <cell r="B17">
            <v>324</v>
          </cell>
          <cell r="C17" t="str">
            <v>Greimel Daniel</v>
          </cell>
          <cell r="E17" t="str">
            <v>KTM 125</v>
          </cell>
          <cell r="G17" t="str">
            <v>_125_ccm</v>
          </cell>
          <cell r="I17">
            <v>90</v>
          </cell>
          <cell r="J17">
            <v>115</v>
          </cell>
          <cell r="K17">
            <v>130</v>
          </cell>
          <cell r="L17">
            <v>115</v>
          </cell>
          <cell r="M17">
            <v>115</v>
          </cell>
          <cell r="N17">
            <v>130</v>
          </cell>
        </row>
        <row r="18">
          <cell r="A18">
            <v>12</v>
          </cell>
          <cell r="B18">
            <v>40</v>
          </cell>
          <cell r="C18" t="str">
            <v>Glück Harald</v>
          </cell>
          <cell r="D18" t="str">
            <v>Loidesthal/NÖ</v>
          </cell>
          <cell r="E18" t="str">
            <v>HONDA CR125</v>
          </cell>
          <cell r="F18" t="str">
            <v>MC Loidesthal</v>
          </cell>
          <cell r="G18" t="str">
            <v>_125_ccm</v>
          </cell>
          <cell r="I18">
            <v>116</v>
          </cell>
          <cell r="J18">
            <v>78</v>
          </cell>
          <cell r="K18">
            <v>120</v>
          </cell>
          <cell r="L18">
            <v>127</v>
          </cell>
          <cell r="M18">
            <v>120</v>
          </cell>
          <cell r="N18">
            <v>127</v>
          </cell>
        </row>
        <row r="19">
          <cell r="A19">
            <v>13</v>
          </cell>
          <cell r="B19">
            <v>304</v>
          </cell>
          <cell r="C19" t="str">
            <v>Stocker Horst</v>
          </cell>
          <cell r="E19" t="str">
            <v>KTM 125</v>
          </cell>
          <cell r="G19" t="str">
            <v>_125_ccm</v>
          </cell>
          <cell r="I19">
            <v>78</v>
          </cell>
          <cell r="J19">
            <v>114</v>
          </cell>
          <cell r="K19">
            <v>124</v>
          </cell>
          <cell r="L19">
            <v>113</v>
          </cell>
          <cell r="M19">
            <v>113</v>
          </cell>
          <cell r="N19">
            <v>124</v>
          </cell>
        </row>
        <row r="20">
          <cell r="A20">
            <v>14</v>
          </cell>
          <cell r="B20">
            <v>46</v>
          </cell>
          <cell r="C20" t="str">
            <v>Sittler Marco</v>
          </cell>
          <cell r="D20" t="str">
            <v>Kelheim/D</v>
          </cell>
          <cell r="E20" t="str">
            <v>Yamaha</v>
          </cell>
          <cell r="G20" t="str">
            <v>_125_ccm</v>
          </cell>
          <cell r="I20">
            <v>87</v>
          </cell>
          <cell r="J20">
            <v>100</v>
          </cell>
          <cell r="K20">
            <v>105</v>
          </cell>
          <cell r="L20">
            <v>124</v>
          </cell>
          <cell r="M20">
            <v>105</v>
          </cell>
          <cell r="N20">
            <v>124</v>
          </cell>
        </row>
        <row r="21">
          <cell r="A21">
            <v>15</v>
          </cell>
          <cell r="B21">
            <v>45</v>
          </cell>
          <cell r="C21" t="str">
            <v>Hipfl Mario</v>
          </cell>
          <cell r="D21" t="str">
            <v>Wels/OÖ</v>
          </cell>
          <cell r="E21" t="str">
            <v>HONDA</v>
          </cell>
          <cell r="F21" t="str">
            <v>HSV Wels</v>
          </cell>
          <cell r="G21" t="str">
            <v>_125_ccm</v>
          </cell>
          <cell r="I21">
            <v>78</v>
          </cell>
          <cell r="J21">
            <v>89</v>
          </cell>
          <cell r="K21">
            <v>100</v>
          </cell>
          <cell r="L21">
            <v>116</v>
          </cell>
          <cell r="M21">
            <v>100</v>
          </cell>
          <cell r="N21">
            <v>116</v>
          </cell>
        </row>
        <row r="22">
          <cell r="A22">
            <v>16</v>
          </cell>
          <cell r="B22">
            <v>303</v>
          </cell>
          <cell r="C22" t="str">
            <v>Dietel Marcel</v>
          </cell>
          <cell r="D22" t="str">
            <v>Waldkirchen/D</v>
          </cell>
          <cell r="E22" t="str">
            <v>KTM EXC</v>
          </cell>
          <cell r="F22" t="str">
            <v>ADAC KTM Sturm</v>
          </cell>
          <cell r="G22" t="str">
            <v>_125_ccm</v>
          </cell>
          <cell r="I22">
            <v>120</v>
          </cell>
          <cell r="J22">
            <v>109</v>
          </cell>
          <cell r="K22">
            <v>101</v>
          </cell>
          <cell r="L22">
            <v>112</v>
          </cell>
          <cell r="M22">
            <v>101</v>
          </cell>
          <cell r="N22">
            <v>112</v>
          </cell>
        </row>
        <row r="23">
          <cell r="A23">
            <v>17</v>
          </cell>
          <cell r="B23">
            <v>37</v>
          </cell>
          <cell r="C23" t="str">
            <v>Schmidthaler Manuel</v>
          </cell>
          <cell r="D23" t="str">
            <v>Leonstein/OÖ</v>
          </cell>
          <cell r="E23" t="str">
            <v>HONDA</v>
          </cell>
          <cell r="F23" t="str">
            <v>MSC Molln</v>
          </cell>
          <cell r="G23" t="str">
            <v>_125_ccm</v>
          </cell>
          <cell r="I23">
            <v>121</v>
          </cell>
          <cell r="J23">
            <v>95</v>
          </cell>
          <cell r="K23">
            <v>110</v>
          </cell>
          <cell r="L23">
            <v>102</v>
          </cell>
          <cell r="M23">
            <v>102</v>
          </cell>
          <cell r="N23">
            <v>110</v>
          </cell>
        </row>
        <row r="24">
          <cell r="A24">
            <v>18</v>
          </cell>
          <cell r="B24">
            <v>305</v>
          </cell>
          <cell r="C24" t="str">
            <v>Rohrer Stefan</v>
          </cell>
          <cell r="D24" t="str">
            <v>Irdning/Stmk.</v>
          </cell>
          <cell r="E24" t="str">
            <v>TM</v>
          </cell>
          <cell r="F24" t="str">
            <v>Racing Team Stocker</v>
          </cell>
          <cell r="G24" t="str">
            <v>_125_ccm</v>
          </cell>
          <cell r="I24">
            <v>106</v>
          </cell>
          <cell r="J24">
            <v>101</v>
          </cell>
          <cell r="K24">
            <v>85</v>
          </cell>
          <cell r="L24">
            <v>108</v>
          </cell>
          <cell r="M24">
            <v>85</v>
          </cell>
          <cell r="N24">
            <v>108</v>
          </cell>
        </row>
        <row r="25">
          <cell r="A25">
            <v>19</v>
          </cell>
          <cell r="B25">
            <v>20</v>
          </cell>
          <cell r="C25" t="str">
            <v>Gebeshuber Thomas</v>
          </cell>
          <cell r="D25" t="str">
            <v>Nußbach/OÖ</v>
          </cell>
          <cell r="E25" t="str">
            <v>HONDA</v>
          </cell>
          <cell r="F25" t="str">
            <v>MSC Molln</v>
          </cell>
          <cell r="G25" t="str">
            <v>_125_ccm</v>
          </cell>
          <cell r="I25">
            <v>85</v>
          </cell>
          <cell r="J25">
            <v>85</v>
          </cell>
          <cell r="K25">
            <v>107</v>
          </cell>
          <cell r="L25">
            <v>98</v>
          </cell>
          <cell r="M25">
            <v>98</v>
          </cell>
          <cell r="N25">
            <v>107</v>
          </cell>
        </row>
        <row r="26">
          <cell r="A26">
            <v>20</v>
          </cell>
          <cell r="B26">
            <v>301</v>
          </cell>
          <cell r="C26" t="str">
            <v>Flaser Jürgen</v>
          </cell>
          <cell r="D26" t="str">
            <v>Ramsau/Molln</v>
          </cell>
          <cell r="E26" t="str">
            <v>HONDA CR125</v>
          </cell>
          <cell r="F26" t="str">
            <v>MSC Molln</v>
          </cell>
          <cell r="G26" t="str">
            <v>_125_ccm</v>
          </cell>
          <cell r="I26">
            <v>74</v>
          </cell>
          <cell r="J26">
            <v>81</v>
          </cell>
          <cell r="K26">
            <v>105</v>
          </cell>
          <cell r="L26">
            <v>75</v>
          </cell>
          <cell r="M26">
            <v>75</v>
          </cell>
          <cell r="N26">
            <v>105</v>
          </cell>
        </row>
        <row r="27">
          <cell r="A27">
            <v>21</v>
          </cell>
          <cell r="B27">
            <v>321</v>
          </cell>
          <cell r="C27" t="str">
            <v>Pühringer Andreas</v>
          </cell>
          <cell r="D27" t="str">
            <v>Molln/OÖ</v>
          </cell>
          <cell r="E27" t="str">
            <v>HONDA CR125</v>
          </cell>
          <cell r="F27" t="str">
            <v>MSC Molln</v>
          </cell>
          <cell r="G27" t="str">
            <v>_125_ccm</v>
          </cell>
          <cell r="J27">
            <v>94</v>
          </cell>
          <cell r="K27">
            <v>102</v>
          </cell>
          <cell r="L27">
            <v>94</v>
          </cell>
          <cell r="M27">
            <v>94</v>
          </cell>
          <cell r="N27">
            <v>102</v>
          </cell>
        </row>
        <row r="28">
          <cell r="A28">
            <v>22</v>
          </cell>
          <cell r="B28">
            <v>302</v>
          </cell>
          <cell r="C28" t="str">
            <v>Inreiter Franz</v>
          </cell>
          <cell r="D28" t="str">
            <v>Nußbach/OÖ</v>
          </cell>
          <cell r="E28" t="str">
            <v>HONDA CR125</v>
          </cell>
          <cell r="G28" t="str">
            <v>_125_ccm</v>
          </cell>
          <cell r="I28">
            <v>75</v>
          </cell>
          <cell r="J28">
            <v>70</v>
          </cell>
          <cell r="K28">
            <v>102</v>
          </cell>
          <cell r="L28">
            <v>60</v>
          </cell>
          <cell r="M28">
            <v>60</v>
          </cell>
          <cell r="N28">
            <v>102</v>
          </cell>
        </row>
        <row r="29">
          <cell r="A29">
            <v>23</v>
          </cell>
          <cell r="B29">
            <v>28</v>
          </cell>
          <cell r="C29" t="str">
            <v>Straschil Florian</v>
          </cell>
          <cell r="D29" t="str">
            <v>Weyer/OÖ</v>
          </cell>
          <cell r="E29" t="str">
            <v>HONDA</v>
          </cell>
          <cell r="F29" t="str">
            <v>HRT Schmidinger</v>
          </cell>
          <cell r="G29" t="str">
            <v>_125_ccm</v>
          </cell>
          <cell r="I29">
            <v>92</v>
          </cell>
          <cell r="J29">
            <v>104</v>
          </cell>
          <cell r="K29">
            <v>86</v>
          </cell>
          <cell r="L29">
            <v>101</v>
          </cell>
          <cell r="M29">
            <v>86</v>
          </cell>
          <cell r="N29">
            <v>101</v>
          </cell>
        </row>
        <row r="30">
          <cell r="A30">
            <v>24</v>
          </cell>
          <cell r="B30">
            <v>42</v>
          </cell>
          <cell r="C30" t="str">
            <v>Grundner Andreas</v>
          </cell>
          <cell r="D30" t="str">
            <v>Steinbach-Attersee/OÖ</v>
          </cell>
          <cell r="E30" t="str">
            <v>KTM</v>
          </cell>
          <cell r="G30" t="str">
            <v>_125_ccm</v>
          </cell>
          <cell r="I30">
            <v>95</v>
          </cell>
          <cell r="J30">
            <v>97</v>
          </cell>
          <cell r="K30">
            <v>90</v>
          </cell>
          <cell r="L30">
            <v>90</v>
          </cell>
          <cell r="M30">
            <v>90</v>
          </cell>
          <cell r="N30">
            <v>90</v>
          </cell>
        </row>
        <row r="31">
          <cell r="A31">
            <v>25</v>
          </cell>
          <cell r="B31">
            <v>23</v>
          </cell>
          <cell r="C31" t="str">
            <v>Resch Christian</v>
          </cell>
          <cell r="D31" t="str">
            <v>Ramsau/D</v>
          </cell>
          <cell r="E31" t="str">
            <v>Kawa 125</v>
          </cell>
          <cell r="F31" t="str">
            <v>MSC Ramsau</v>
          </cell>
          <cell r="G31" t="str">
            <v>_125_ccm</v>
          </cell>
          <cell r="I31">
            <v>101</v>
          </cell>
          <cell r="J31">
            <v>100</v>
          </cell>
          <cell r="K31">
            <v>88</v>
          </cell>
          <cell r="L31">
            <v>85</v>
          </cell>
          <cell r="M31">
            <v>85</v>
          </cell>
          <cell r="N31">
            <v>88</v>
          </cell>
        </row>
        <row r="32">
          <cell r="A32">
            <v>26</v>
          </cell>
          <cell r="B32">
            <v>21</v>
          </cell>
          <cell r="C32" t="str">
            <v>Moser Simon</v>
          </cell>
          <cell r="D32" t="str">
            <v>Leonstein/OÖ</v>
          </cell>
          <cell r="E32" t="str">
            <v>HONDA</v>
          </cell>
          <cell r="G32" t="str">
            <v>_125_ccm</v>
          </cell>
          <cell r="I32">
            <v>102</v>
          </cell>
          <cell r="J32">
            <v>115</v>
          </cell>
          <cell r="K32">
            <v>50</v>
          </cell>
          <cell r="M32">
            <v>50</v>
          </cell>
          <cell r="N32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ezial"/>
    </sheetNames>
    <sheetDataSet>
      <sheetData sheetId="0">
        <row r="6">
          <cell r="A6" t="str">
            <v>Rang</v>
          </cell>
          <cell r="B6" t="str">
            <v>St.Nr.</v>
          </cell>
          <cell r="C6" t="str">
            <v>Name</v>
          </cell>
          <cell r="D6" t="str">
            <v>Ort/Land</v>
          </cell>
          <cell r="E6" t="str">
            <v>Motorrad</v>
          </cell>
          <cell r="F6" t="str">
            <v>Club</v>
          </cell>
          <cell r="G6" t="str">
            <v>Klasse</v>
          </cell>
          <cell r="H6" t="str">
            <v>Unterschrift</v>
          </cell>
          <cell r="I6" t="str">
            <v>1.Training</v>
          </cell>
          <cell r="J6" t="str">
            <v>2.Training</v>
          </cell>
          <cell r="K6" t="str">
            <v>1.Durchgang</v>
          </cell>
          <cell r="L6" t="str">
            <v>2.Durchgang</v>
          </cell>
          <cell r="M6" t="str">
            <v>Min</v>
          </cell>
          <cell r="N6" t="str">
            <v>Max</v>
          </cell>
        </row>
        <row r="7">
          <cell r="A7">
            <v>1</v>
          </cell>
          <cell r="B7">
            <v>275</v>
          </cell>
          <cell r="C7" t="str">
            <v>Nonn Lars</v>
          </cell>
          <cell r="D7" t="str">
            <v>Dietzhausen/D</v>
          </cell>
          <cell r="E7" t="str">
            <v>KTM</v>
          </cell>
          <cell r="G7" t="str">
            <v>Spezial</v>
          </cell>
          <cell r="I7">
            <v>188</v>
          </cell>
          <cell r="J7">
            <v>188</v>
          </cell>
          <cell r="K7">
            <v>166</v>
          </cell>
          <cell r="L7">
            <v>188</v>
          </cell>
          <cell r="M7">
            <v>166</v>
          </cell>
          <cell r="N7">
            <v>188</v>
          </cell>
        </row>
        <row r="8">
          <cell r="A8">
            <v>2</v>
          </cell>
          <cell r="B8">
            <v>291</v>
          </cell>
          <cell r="C8" t="str">
            <v>Ziffer-Dornitzhuber Peter</v>
          </cell>
          <cell r="D8" t="str">
            <v>Brunn/Gebirge-NÖ</v>
          </cell>
          <cell r="E8" t="str">
            <v>Kawasaki KX500</v>
          </cell>
          <cell r="F8" t="str">
            <v>UMCT Langenlois</v>
          </cell>
          <cell r="G8" t="str">
            <v>Spezial</v>
          </cell>
          <cell r="I8">
            <v>134</v>
          </cell>
          <cell r="J8">
            <v>165</v>
          </cell>
          <cell r="K8">
            <v>163</v>
          </cell>
          <cell r="L8">
            <v>139</v>
          </cell>
          <cell r="M8">
            <v>139</v>
          </cell>
          <cell r="N8">
            <v>163</v>
          </cell>
        </row>
        <row r="9">
          <cell r="A9">
            <v>3</v>
          </cell>
          <cell r="B9">
            <v>272</v>
          </cell>
          <cell r="C9" t="str">
            <v>Wohlgenannt Karl</v>
          </cell>
          <cell r="D9" t="str">
            <v>Lustenau/Vbg.</v>
          </cell>
          <cell r="E9" t="str">
            <v>Kawasaki 500</v>
          </cell>
          <cell r="F9" t="str">
            <v>MCC Dornbirn</v>
          </cell>
          <cell r="G9" t="str">
            <v>Spezial</v>
          </cell>
          <cell r="I9">
            <v>145</v>
          </cell>
          <cell r="J9">
            <v>147</v>
          </cell>
          <cell r="K9">
            <v>157</v>
          </cell>
          <cell r="L9">
            <v>140</v>
          </cell>
          <cell r="M9">
            <v>140</v>
          </cell>
          <cell r="N9">
            <v>157</v>
          </cell>
        </row>
        <row r="10">
          <cell r="A10">
            <v>4</v>
          </cell>
          <cell r="B10">
            <v>267</v>
          </cell>
          <cell r="C10" t="str">
            <v>Stocker Horst</v>
          </cell>
          <cell r="E10" t="str">
            <v>KTM 600</v>
          </cell>
          <cell r="G10" t="str">
            <v>Spezial</v>
          </cell>
          <cell r="I10">
            <v>136</v>
          </cell>
          <cell r="J10">
            <v>128</v>
          </cell>
          <cell r="K10">
            <v>142</v>
          </cell>
          <cell r="L10">
            <v>148</v>
          </cell>
          <cell r="M10">
            <v>142</v>
          </cell>
          <cell r="N10">
            <v>148</v>
          </cell>
        </row>
        <row r="11">
          <cell r="A11">
            <v>5</v>
          </cell>
          <cell r="B11">
            <v>283</v>
          </cell>
          <cell r="C11" t="str">
            <v>Klose Charly</v>
          </cell>
          <cell r="D11" t="str">
            <v>Mummenfurt/D</v>
          </cell>
          <cell r="E11" t="str">
            <v>Eigenbau 850</v>
          </cell>
          <cell r="G11" t="str">
            <v>Spezial</v>
          </cell>
          <cell r="I11">
            <v>130</v>
          </cell>
          <cell r="J11">
            <v>141</v>
          </cell>
          <cell r="K11">
            <v>141</v>
          </cell>
          <cell r="L11">
            <v>147</v>
          </cell>
          <cell r="M11">
            <v>141</v>
          </cell>
          <cell r="N11">
            <v>147</v>
          </cell>
        </row>
        <row r="12">
          <cell r="A12">
            <v>6</v>
          </cell>
          <cell r="B12">
            <v>292</v>
          </cell>
          <cell r="C12" t="str">
            <v>März Hans Peter</v>
          </cell>
          <cell r="D12" t="str">
            <v>Bayern</v>
          </cell>
          <cell r="E12" t="str">
            <v>Alfred</v>
          </cell>
          <cell r="F12" t="str">
            <v>Schlammspringer</v>
          </cell>
          <cell r="G12" t="str">
            <v>Spezial</v>
          </cell>
          <cell r="I12">
            <v>163</v>
          </cell>
          <cell r="J12">
            <v>133</v>
          </cell>
          <cell r="K12">
            <v>136</v>
          </cell>
          <cell r="L12">
            <v>145</v>
          </cell>
          <cell r="M12">
            <v>136</v>
          </cell>
          <cell r="N12">
            <v>145</v>
          </cell>
        </row>
        <row r="13">
          <cell r="A13">
            <v>7</v>
          </cell>
          <cell r="B13">
            <v>269</v>
          </cell>
          <cell r="C13" t="str">
            <v>Schuckert Hansl+Harry</v>
          </cell>
          <cell r="D13" t="str">
            <v>Loidesthal/NÖ</v>
          </cell>
          <cell r="E13" t="str">
            <v>HONDA CR 1000</v>
          </cell>
          <cell r="F13" t="str">
            <v>MC Loidesthal</v>
          </cell>
          <cell r="G13" t="str">
            <v>Spezial</v>
          </cell>
          <cell r="I13">
            <v>35</v>
          </cell>
          <cell r="J13">
            <v>44</v>
          </cell>
          <cell r="K13">
            <v>137</v>
          </cell>
          <cell r="L13">
            <v>142</v>
          </cell>
          <cell r="M13">
            <v>137</v>
          </cell>
          <cell r="N13">
            <v>142</v>
          </cell>
        </row>
        <row r="14">
          <cell r="A14">
            <v>8</v>
          </cell>
          <cell r="B14">
            <v>299</v>
          </cell>
          <cell r="C14" t="str">
            <v>Schönberg Erik</v>
          </cell>
          <cell r="D14" t="str">
            <v>Pörtschach/Ktn</v>
          </cell>
          <cell r="E14" t="str">
            <v>KTM 500</v>
          </cell>
          <cell r="F14" t="str">
            <v>Tarco Racing Team</v>
          </cell>
          <cell r="G14" t="str">
            <v>Spezial</v>
          </cell>
          <cell r="K14">
            <v>125</v>
          </cell>
          <cell r="L14">
            <v>142</v>
          </cell>
          <cell r="M14">
            <v>125</v>
          </cell>
          <cell r="N14">
            <v>142</v>
          </cell>
        </row>
        <row r="15">
          <cell r="A15">
            <v>9</v>
          </cell>
          <cell r="B15">
            <v>290</v>
          </cell>
          <cell r="C15" t="str">
            <v>Aigner Andreas</v>
          </cell>
          <cell r="D15" t="str">
            <v>Bad Mitterndorf/Stmk.</v>
          </cell>
          <cell r="E15" t="str">
            <v>MTH 650</v>
          </cell>
          <cell r="G15" t="str">
            <v>Spezial</v>
          </cell>
          <cell r="I15">
            <v>102</v>
          </cell>
          <cell r="J15">
            <v>102</v>
          </cell>
          <cell r="K15">
            <v>140</v>
          </cell>
          <cell r="L15">
            <v>121</v>
          </cell>
          <cell r="M15">
            <v>121</v>
          </cell>
          <cell r="N15">
            <v>140</v>
          </cell>
        </row>
        <row r="16">
          <cell r="A16">
            <v>10</v>
          </cell>
          <cell r="B16">
            <v>273</v>
          </cell>
          <cell r="C16" t="str">
            <v>Zaiser Klaus</v>
          </cell>
          <cell r="D16" t="str">
            <v>Schlattstall/D</v>
          </cell>
          <cell r="E16" t="str">
            <v>Yamaha FZR1000</v>
          </cell>
          <cell r="F16" t="str">
            <v>Team Haug</v>
          </cell>
          <cell r="G16" t="str">
            <v>Spezial</v>
          </cell>
          <cell r="I16">
            <v>85</v>
          </cell>
          <cell r="J16">
            <v>167</v>
          </cell>
          <cell r="K16">
            <v>139</v>
          </cell>
          <cell r="L16">
            <v>125</v>
          </cell>
          <cell r="M16">
            <v>125</v>
          </cell>
          <cell r="N16">
            <v>139</v>
          </cell>
        </row>
        <row r="17">
          <cell r="A17">
            <v>11</v>
          </cell>
          <cell r="B17">
            <v>300</v>
          </cell>
          <cell r="C17" t="str">
            <v>Rojer Gerfried</v>
          </cell>
          <cell r="D17" t="str">
            <v>Schladming/Stmk.</v>
          </cell>
          <cell r="E17" t="str">
            <v>HONDA CR 500</v>
          </cell>
          <cell r="F17" t="str">
            <v>MSC-Oberhaus</v>
          </cell>
          <cell r="G17" t="str">
            <v>Spezial</v>
          </cell>
          <cell r="I17">
            <v>130</v>
          </cell>
          <cell r="J17">
            <v>145</v>
          </cell>
          <cell r="K17">
            <v>137</v>
          </cell>
          <cell r="L17">
            <v>138</v>
          </cell>
          <cell r="M17">
            <v>137</v>
          </cell>
          <cell r="N17">
            <v>138</v>
          </cell>
        </row>
        <row r="18">
          <cell r="A18">
            <v>12</v>
          </cell>
          <cell r="B18">
            <v>298</v>
          </cell>
          <cell r="C18" t="str">
            <v>Glück Harald</v>
          </cell>
          <cell r="D18" t="str">
            <v>Loidesthal/NÖ</v>
          </cell>
          <cell r="F18" t="str">
            <v>MC Loidesthal</v>
          </cell>
          <cell r="G18" t="str">
            <v>Spezial</v>
          </cell>
          <cell r="I18">
            <v>125</v>
          </cell>
          <cell r="J18">
            <v>125</v>
          </cell>
          <cell r="K18">
            <v>136</v>
          </cell>
          <cell r="L18">
            <v>136</v>
          </cell>
          <cell r="M18">
            <v>136</v>
          </cell>
          <cell r="N18">
            <v>136</v>
          </cell>
        </row>
        <row r="19">
          <cell r="A19">
            <v>13</v>
          </cell>
          <cell r="B19">
            <v>289</v>
          </cell>
          <cell r="C19" t="str">
            <v>Wichtlhuber Johann</v>
          </cell>
          <cell r="D19" t="str">
            <v>Palling/D</v>
          </cell>
          <cell r="E19" t="str">
            <v>HONDA CR500</v>
          </cell>
          <cell r="F19" t="str">
            <v>MSC Kirchweidach</v>
          </cell>
          <cell r="G19" t="str">
            <v>Spezial</v>
          </cell>
          <cell r="I19">
            <v>145</v>
          </cell>
          <cell r="J19">
            <v>130</v>
          </cell>
          <cell r="K19">
            <v>136</v>
          </cell>
          <cell r="L19">
            <v>120</v>
          </cell>
          <cell r="M19">
            <v>120</v>
          </cell>
          <cell r="N19">
            <v>136</v>
          </cell>
        </row>
        <row r="20">
          <cell r="A20">
            <v>14</v>
          </cell>
          <cell r="B20">
            <v>282</v>
          </cell>
          <cell r="C20" t="str">
            <v>Mattl Michi</v>
          </cell>
          <cell r="D20" t="str">
            <v>Velden/Ktn.</v>
          </cell>
          <cell r="E20" t="str">
            <v>KTM 520</v>
          </cell>
          <cell r="F20" t="str">
            <v>Tarco Racing Team</v>
          </cell>
          <cell r="G20" t="str">
            <v>Spezial</v>
          </cell>
          <cell r="I20">
            <v>140</v>
          </cell>
          <cell r="J20">
            <v>143</v>
          </cell>
          <cell r="K20">
            <v>135</v>
          </cell>
          <cell r="L20">
            <v>131</v>
          </cell>
          <cell r="M20">
            <v>131</v>
          </cell>
          <cell r="N20">
            <v>135</v>
          </cell>
        </row>
        <row r="21">
          <cell r="A21">
            <v>15</v>
          </cell>
          <cell r="B21">
            <v>279</v>
          </cell>
          <cell r="C21" t="str">
            <v>Wagner Martin</v>
          </cell>
          <cell r="D21" t="str">
            <v>Peißenberg/D</v>
          </cell>
          <cell r="E21" t="str">
            <v>Husaberg</v>
          </cell>
          <cell r="G21" t="str">
            <v>Spezial</v>
          </cell>
          <cell r="I21">
            <v>140</v>
          </cell>
          <cell r="J21">
            <v>138</v>
          </cell>
          <cell r="L21">
            <v>134</v>
          </cell>
          <cell r="M21">
            <v>134</v>
          </cell>
          <cell r="N21">
            <v>134</v>
          </cell>
        </row>
        <row r="22">
          <cell r="A22">
            <v>16</v>
          </cell>
          <cell r="B22">
            <v>297</v>
          </cell>
          <cell r="C22" t="str">
            <v>Greimel Daniel</v>
          </cell>
          <cell r="E22" t="str">
            <v>KTM 600</v>
          </cell>
          <cell r="G22" t="str">
            <v>Spezial</v>
          </cell>
          <cell r="I22">
            <v>140</v>
          </cell>
          <cell r="J22">
            <v>124</v>
          </cell>
          <cell r="K22">
            <v>128</v>
          </cell>
          <cell r="L22">
            <v>133</v>
          </cell>
          <cell r="M22">
            <v>128</v>
          </cell>
          <cell r="N22">
            <v>133</v>
          </cell>
        </row>
        <row r="23">
          <cell r="A23">
            <v>17</v>
          </cell>
          <cell r="B23">
            <v>276</v>
          </cell>
          <cell r="C23" t="str">
            <v>Hofstetter Josef</v>
          </cell>
          <cell r="D23" t="str">
            <v>Rudelzhausen/D</v>
          </cell>
          <cell r="E23" t="str">
            <v>Husky 610</v>
          </cell>
          <cell r="F23" t="str">
            <v>Hollerb.Kamikaze Team</v>
          </cell>
          <cell r="G23" t="str">
            <v>Spezial</v>
          </cell>
          <cell r="I23">
            <v>113</v>
          </cell>
          <cell r="J23">
            <v>142</v>
          </cell>
          <cell r="K23">
            <v>131</v>
          </cell>
          <cell r="L23">
            <v>124</v>
          </cell>
          <cell r="M23">
            <v>124</v>
          </cell>
          <cell r="N23">
            <v>131</v>
          </cell>
        </row>
        <row r="24">
          <cell r="A24">
            <v>18</v>
          </cell>
          <cell r="B24">
            <v>286</v>
          </cell>
          <cell r="C24" t="str">
            <v>Skrypczak Matthias</v>
          </cell>
          <cell r="D24" t="str">
            <v>Harsefeld/D</v>
          </cell>
          <cell r="E24" t="str">
            <v>Yamaha</v>
          </cell>
          <cell r="G24" t="str">
            <v>Spezial</v>
          </cell>
          <cell r="I24">
            <v>119</v>
          </cell>
          <cell r="J24">
            <v>138</v>
          </cell>
          <cell r="K24">
            <v>130</v>
          </cell>
          <cell r="L24">
            <v>122</v>
          </cell>
          <cell r="M24">
            <v>122</v>
          </cell>
          <cell r="N24">
            <v>130</v>
          </cell>
        </row>
        <row r="25">
          <cell r="A25">
            <v>19</v>
          </cell>
          <cell r="B25">
            <v>287</v>
          </cell>
          <cell r="C25" t="str">
            <v>Löhden Frank</v>
          </cell>
          <cell r="D25" t="str">
            <v>Buxtehude/D</v>
          </cell>
          <cell r="E25" t="str">
            <v>KTM 500</v>
          </cell>
          <cell r="F25" t="str">
            <v>Horst-Racing-Team</v>
          </cell>
          <cell r="G25" t="str">
            <v>Spezial</v>
          </cell>
          <cell r="J25">
            <v>142</v>
          </cell>
          <cell r="K25">
            <v>104</v>
          </cell>
          <cell r="L25">
            <v>128</v>
          </cell>
          <cell r="M25">
            <v>104</v>
          </cell>
          <cell r="N25">
            <v>128</v>
          </cell>
        </row>
        <row r="26">
          <cell r="A26">
            <v>20</v>
          </cell>
          <cell r="B26">
            <v>285</v>
          </cell>
          <cell r="C26" t="str">
            <v>Öttl Andreas</v>
          </cell>
          <cell r="D26" t="str">
            <v>Rottenegg/OÖ</v>
          </cell>
          <cell r="E26" t="str">
            <v>HONDA VF 1000</v>
          </cell>
          <cell r="G26" t="str">
            <v>Spezial</v>
          </cell>
          <cell r="I26">
            <v>123</v>
          </cell>
          <cell r="J26">
            <v>109</v>
          </cell>
          <cell r="K26">
            <v>126</v>
          </cell>
          <cell r="L26">
            <v>125</v>
          </cell>
          <cell r="M26">
            <v>125</v>
          </cell>
          <cell r="N26">
            <v>126</v>
          </cell>
        </row>
        <row r="27">
          <cell r="A27">
            <v>21</v>
          </cell>
          <cell r="B27">
            <v>268</v>
          </cell>
          <cell r="C27" t="str">
            <v>Bruckner Patrick</v>
          </cell>
          <cell r="D27" t="str">
            <v>Velm-Götzendorf/NÖ</v>
          </cell>
          <cell r="E27" t="str">
            <v>HONDA CR250</v>
          </cell>
          <cell r="F27" t="str">
            <v>MC Loidesthal</v>
          </cell>
          <cell r="G27" t="str">
            <v>Spezial</v>
          </cell>
          <cell r="I27">
            <v>119</v>
          </cell>
          <cell r="J27">
            <v>128</v>
          </cell>
          <cell r="K27">
            <v>110</v>
          </cell>
          <cell r="L27">
            <v>121</v>
          </cell>
          <cell r="M27">
            <v>110</v>
          </cell>
          <cell r="N27">
            <v>121</v>
          </cell>
        </row>
        <row r="28">
          <cell r="A28">
            <v>22</v>
          </cell>
          <cell r="B28">
            <v>284</v>
          </cell>
          <cell r="C28" t="str">
            <v>Höllerer Markus</v>
          </cell>
          <cell r="D28" t="str">
            <v>Moosburg a.d. Isar/D</v>
          </cell>
          <cell r="E28" t="str">
            <v>KTM 360 SX Langschwinge</v>
          </cell>
          <cell r="F28" t="str">
            <v>MSC Freisinger Bär</v>
          </cell>
          <cell r="G28" t="str">
            <v>Spezial</v>
          </cell>
          <cell r="I28">
            <v>128</v>
          </cell>
          <cell r="J28">
            <v>148</v>
          </cell>
          <cell r="K28">
            <v>120</v>
          </cell>
          <cell r="M28">
            <v>120</v>
          </cell>
          <cell r="N28">
            <v>120</v>
          </cell>
        </row>
        <row r="29">
          <cell r="A29">
            <v>23</v>
          </cell>
          <cell r="B29">
            <v>281</v>
          </cell>
          <cell r="C29" t="str">
            <v>Rager Johann</v>
          </cell>
          <cell r="D29" t="str">
            <v>Frankenburg/OÖ</v>
          </cell>
          <cell r="E29" t="str">
            <v>Kawasaki 500</v>
          </cell>
          <cell r="F29" t="str">
            <v>RC Raitenberg</v>
          </cell>
          <cell r="G29" t="str">
            <v>Spezial</v>
          </cell>
          <cell r="I29">
            <v>88</v>
          </cell>
          <cell r="J29">
            <v>70</v>
          </cell>
          <cell r="K29">
            <v>95</v>
          </cell>
          <cell r="L29">
            <v>75</v>
          </cell>
          <cell r="M29">
            <v>75</v>
          </cell>
          <cell r="N29">
            <v>95</v>
          </cell>
        </row>
        <row r="30">
          <cell r="A30">
            <v>24</v>
          </cell>
          <cell r="B30">
            <v>274</v>
          </cell>
          <cell r="C30" t="str">
            <v>Gombold Steffen</v>
          </cell>
          <cell r="D30" t="str">
            <v>Kirchheim/D</v>
          </cell>
          <cell r="E30" t="str">
            <v>Kawa GPZ</v>
          </cell>
          <cell r="F30" t="str">
            <v>Maug</v>
          </cell>
          <cell r="G30" t="str">
            <v>Spezial</v>
          </cell>
          <cell r="I30">
            <v>70</v>
          </cell>
          <cell r="K30">
            <v>83</v>
          </cell>
          <cell r="L30">
            <v>76</v>
          </cell>
          <cell r="M30">
            <v>76</v>
          </cell>
          <cell r="N30">
            <v>83</v>
          </cell>
        </row>
        <row r="31">
          <cell r="A31" t="str">
            <v>-----</v>
          </cell>
          <cell r="B31">
            <v>277</v>
          </cell>
          <cell r="C31" t="str">
            <v>Löser Ernst</v>
          </cell>
          <cell r="D31" t="str">
            <v>Annaberg/D</v>
          </cell>
          <cell r="E31" t="str">
            <v>HONDA</v>
          </cell>
          <cell r="G31" t="str">
            <v>Spezial</v>
          </cell>
          <cell r="I31">
            <v>108</v>
          </cell>
          <cell r="M31">
            <v>0</v>
          </cell>
          <cell r="N31">
            <v>0</v>
          </cell>
        </row>
        <row r="32">
          <cell r="A32" t="str">
            <v>-----</v>
          </cell>
          <cell r="B32">
            <v>278</v>
          </cell>
          <cell r="C32" t="str">
            <v>Rager Thomas</v>
          </cell>
          <cell r="D32" t="str">
            <v>Frankenburg/OÖ</v>
          </cell>
          <cell r="E32" t="str">
            <v>MV 500</v>
          </cell>
          <cell r="F32" t="str">
            <v>RC Raitenberg</v>
          </cell>
          <cell r="G32" t="str">
            <v>Spezial</v>
          </cell>
          <cell r="I32">
            <v>85</v>
          </cell>
          <cell r="M32">
            <v>0</v>
          </cell>
          <cell r="N32">
            <v>0</v>
          </cell>
        </row>
        <row r="33">
          <cell r="A33" t="str">
            <v>-----</v>
          </cell>
          <cell r="B33">
            <v>280</v>
          </cell>
          <cell r="C33" t="str">
            <v>Schmidinger Karl</v>
          </cell>
          <cell r="D33" t="str">
            <v>Waldneukirchen/OÖ</v>
          </cell>
          <cell r="E33" t="str">
            <v>HONDA Varadero</v>
          </cell>
          <cell r="F33" t="str">
            <v>MSC Molln/TERSCHL</v>
          </cell>
          <cell r="G33" t="str">
            <v>Spezial</v>
          </cell>
          <cell r="I33">
            <v>131</v>
          </cell>
          <cell r="J33">
            <v>125</v>
          </cell>
          <cell r="M33">
            <v>0</v>
          </cell>
          <cell r="N33">
            <v>0</v>
          </cell>
        </row>
        <row r="34">
          <cell r="A34" t="str">
            <v>-----</v>
          </cell>
          <cell r="B34">
            <v>288</v>
          </cell>
          <cell r="C34" t="str">
            <v>Riedel Jan</v>
          </cell>
          <cell r="D34" t="str">
            <v>Schönfeld/D</v>
          </cell>
          <cell r="E34" t="str">
            <v>Yamaha</v>
          </cell>
          <cell r="G34" t="str">
            <v>Spezial</v>
          </cell>
          <cell r="I34">
            <v>70</v>
          </cell>
          <cell r="M34">
            <v>0</v>
          </cell>
          <cell r="N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2"/>
  <sheetViews>
    <sheetView tabSelected="1" workbookViewId="0" topLeftCell="A2">
      <selection activeCell="A3" sqref="A3:IV3"/>
    </sheetView>
  </sheetViews>
  <sheetFormatPr defaultColWidth="11.421875" defaultRowHeight="12.75"/>
  <cols>
    <col min="1" max="1" width="6.421875" style="0" bestFit="1" customWidth="1"/>
    <col min="2" max="2" width="7.00390625" style="0" bestFit="1" customWidth="1"/>
    <col min="3" max="3" width="21.421875" style="0" bestFit="1" customWidth="1"/>
    <col min="4" max="4" width="22.00390625" style="0" bestFit="1" customWidth="1"/>
    <col min="5" max="5" width="15.7109375" style="0" bestFit="1" customWidth="1"/>
    <col min="6" max="6" width="23.7109375" style="0" bestFit="1" customWidth="1"/>
    <col min="7" max="7" width="8.28125" style="0" bestFit="1" customWidth="1"/>
    <col min="8" max="8" width="13.57421875" style="0" hidden="1" customWidth="1"/>
    <col min="11" max="12" width="14.421875" style="0" bestFit="1" customWidth="1"/>
    <col min="13" max="13" width="4.7109375" style="0" bestFit="1" customWidth="1"/>
    <col min="14" max="14" width="5.28125" style="0" bestFit="1" customWidth="1"/>
  </cols>
  <sheetData>
    <row r="3" spans="1:11" ht="12.75">
      <c r="A3" t="s">
        <v>369</v>
      </c>
      <c r="D3" t="s">
        <v>137</v>
      </c>
      <c r="E3" t="s">
        <v>370</v>
      </c>
      <c r="K3" t="s">
        <v>371</v>
      </c>
    </row>
    <row r="5" ht="13.5" thickBot="1"/>
    <row r="6" spans="1:14" s="5" customFormat="1" ht="16.5" thickBot="1">
      <c r="A6" s="1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4" t="s">
        <v>13</v>
      </c>
    </row>
    <row r="7" spans="1:14" ht="13.5" thickBot="1">
      <c r="A7" s="6">
        <f>1</f>
        <v>1</v>
      </c>
      <c r="B7" s="7">
        <v>155</v>
      </c>
      <c r="C7" s="8" t="s">
        <v>14</v>
      </c>
      <c r="D7" s="9" t="s">
        <v>15</v>
      </c>
      <c r="E7" s="9" t="s">
        <v>16</v>
      </c>
      <c r="F7" s="9" t="s">
        <v>17</v>
      </c>
      <c r="G7" s="9" t="s">
        <v>18</v>
      </c>
      <c r="H7" s="9"/>
      <c r="I7" s="9">
        <v>150</v>
      </c>
      <c r="J7" s="9">
        <v>180</v>
      </c>
      <c r="K7" s="9">
        <v>180</v>
      </c>
      <c r="L7" s="9">
        <v>174</v>
      </c>
      <c r="M7" s="9">
        <f aca="true" t="shared" si="0" ref="M7:M38">MIN(K7:L7)</f>
        <v>174</v>
      </c>
      <c r="N7" s="10">
        <f aca="true" t="shared" si="1" ref="N7:N38">MAX(K7:L7)</f>
        <v>180</v>
      </c>
    </row>
    <row r="8" spans="1:14" ht="12.75">
      <c r="A8" s="11">
        <f>2</f>
        <v>2</v>
      </c>
      <c r="B8" s="12">
        <v>148</v>
      </c>
      <c r="C8" s="9" t="s">
        <v>19</v>
      </c>
      <c r="D8" s="9" t="s">
        <v>15</v>
      </c>
      <c r="E8" s="9" t="s">
        <v>20</v>
      </c>
      <c r="F8" s="9" t="s">
        <v>17</v>
      </c>
      <c r="G8" s="9" t="s">
        <v>18</v>
      </c>
      <c r="H8" s="9"/>
      <c r="I8" s="9">
        <v>149</v>
      </c>
      <c r="J8" s="9">
        <v>170</v>
      </c>
      <c r="K8" s="9">
        <v>168</v>
      </c>
      <c r="L8" s="9">
        <v>131</v>
      </c>
      <c r="M8" s="9">
        <f t="shared" si="0"/>
        <v>131</v>
      </c>
      <c r="N8" s="10">
        <f t="shared" si="1"/>
        <v>168</v>
      </c>
    </row>
    <row r="9" spans="1:14" ht="12.75">
      <c r="A9" s="13">
        <f>3</f>
        <v>3</v>
      </c>
      <c r="B9" s="9">
        <v>125</v>
      </c>
      <c r="C9" s="9" t="s">
        <v>21</v>
      </c>
      <c r="D9" s="9" t="s">
        <v>22</v>
      </c>
      <c r="E9" s="9" t="s">
        <v>23</v>
      </c>
      <c r="F9" s="9"/>
      <c r="G9" s="9" t="s">
        <v>18</v>
      </c>
      <c r="H9" s="9"/>
      <c r="I9" s="9">
        <v>142</v>
      </c>
      <c r="J9" s="9">
        <v>168</v>
      </c>
      <c r="K9" s="9">
        <v>165</v>
      </c>
      <c r="L9" s="9">
        <v>153</v>
      </c>
      <c r="M9" s="9">
        <f t="shared" si="0"/>
        <v>153</v>
      </c>
      <c r="N9" s="10">
        <f t="shared" si="1"/>
        <v>165</v>
      </c>
    </row>
    <row r="10" spans="1:14" ht="12.75">
      <c r="A10" s="13">
        <f>4</f>
        <v>4</v>
      </c>
      <c r="B10" s="9">
        <v>137</v>
      </c>
      <c r="C10" s="9" t="s">
        <v>24</v>
      </c>
      <c r="D10" s="9" t="s">
        <v>25</v>
      </c>
      <c r="E10" s="9" t="s">
        <v>26</v>
      </c>
      <c r="F10" s="9" t="s">
        <v>27</v>
      </c>
      <c r="G10" s="9" t="s">
        <v>18</v>
      </c>
      <c r="H10" s="9"/>
      <c r="I10" s="9">
        <v>163</v>
      </c>
      <c r="J10" s="9">
        <v>155</v>
      </c>
      <c r="K10" s="9">
        <v>161</v>
      </c>
      <c r="L10" s="9">
        <v>155</v>
      </c>
      <c r="M10" s="9">
        <f t="shared" si="0"/>
        <v>155</v>
      </c>
      <c r="N10" s="10">
        <f t="shared" si="1"/>
        <v>161</v>
      </c>
    </row>
    <row r="11" spans="1:14" ht="12.75">
      <c r="A11" s="13">
        <f>5</f>
        <v>5</v>
      </c>
      <c r="B11" s="9">
        <v>140</v>
      </c>
      <c r="C11" s="9" t="s">
        <v>28</v>
      </c>
      <c r="D11" s="9" t="s">
        <v>29</v>
      </c>
      <c r="E11" s="9" t="s">
        <v>30</v>
      </c>
      <c r="F11" s="9" t="s">
        <v>31</v>
      </c>
      <c r="G11" s="9" t="s">
        <v>18</v>
      </c>
      <c r="H11" s="9"/>
      <c r="I11" s="9">
        <v>139</v>
      </c>
      <c r="J11" s="9">
        <v>138</v>
      </c>
      <c r="K11" s="9">
        <v>146</v>
      </c>
      <c r="L11" s="9">
        <v>155</v>
      </c>
      <c r="M11" s="9">
        <f t="shared" si="0"/>
        <v>146</v>
      </c>
      <c r="N11" s="10">
        <f t="shared" si="1"/>
        <v>155</v>
      </c>
    </row>
    <row r="12" spans="1:14" ht="12.75">
      <c r="A12" s="13">
        <f>6</f>
        <v>6</v>
      </c>
      <c r="B12" s="9">
        <v>224</v>
      </c>
      <c r="C12" s="9" t="s">
        <v>32</v>
      </c>
      <c r="D12" s="9" t="s">
        <v>33</v>
      </c>
      <c r="E12" s="9" t="s">
        <v>23</v>
      </c>
      <c r="F12" s="9"/>
      <c r="G12" s="9" t="s">
        <v>18</v>
      </c>
      <c r="H12" s="9"/>
      <c r="I12" s="9">
        <v>124</v>
      </c>
      <c r="J12" s="9">
        <v>146</v>
      </c>
      <c r="K12" s="9">
        <v>151</v>
      </c>
      <c r="L12" s="9">
        <v>135</v>
      </c>
      <c r="M12" s="9">
        <f t="shared" si="0"/>
        <v>135</v>
      </c>
      <c r="N12" s="10">
        <f t="shared" si="1"/>
        <v>151</v>
      </c>
    </row>
    <row r="13" spans="1:14" ht="12.75">
      <c r="A13" s="13">
        <f>7</f>
        <v>7</v>
      </c>
      <c r="B13" s="9">
        <v>126</v>
      </c>
      <c r="C13" s="9" t="s">
        <v>34</v>
      </c>
      <c r="D13" s="9" t="s">
        <v>35</v>
      </c>
      <c r="E13" s="9" t="s">
        <v>36</v>
      </c>
      <c r="F13" s="9" t="s">
        <v>37</v>
      </c>
      <c r="G13" s="9" t="s">
        <v>18</v>
      </c>
      <c r="H13" s="9"/>
      <c r="I13" s="9">
        <v>137</v>
      </c>
      <c r="J13" s="9">
        <v>148</v>
      </c>
      <c r="K13" s="9">
        <v>147</v>
      </c>
      <c r="L13" s="9">
        <v>148</v>
      </c>
      <c r="M13" s="9">
        <f t="shared" si="0"/>
        <v>147</v>
      </c>
      <c r="N13" s="10">
        <f t="shared" si="1"/>
        <v>148</v>
      </c>
    </row>
    <row r="14" spans="1:14" ht="12.75">
      <c r="A14" s="13">
        <f>8</f>
        <v>8</v>
      </c>
      <c r="B14" s="9">
        <v>201</v>
      </c>
      <c r="C14" s="9" t="s">
        <v>38</v>
      </c>
      <c r="D14" s="9" t="s">
        <v>39</v>
      </c>
      <c r="E14" s="9" t="s">
        <v>40</v>
      </c>
      <c r="F14" s="9" t="s">
        <v>41</v>
      </c>
      <c r="G14" s="9" t="s">
        <v>18</v>
      </c>
      <c r="H14" s="9"/>
      <c r="I14" s="9">
        <v>122</v>
      </c>
      <c r="J14" s="9">
        <v>145</v>
      </c>
      <c r="K14" s="9">
        <v>148</v>
      </c>
      <c r="L14" s="9">
        <v>145</v>
      </c>
      <c r="M14" s="9">
        <f t="shared" si="0"/>
        <v>145</v>
      </c>
      <c r="N14" s="10">
        <f t="shared" si="1"/>
        <v>148</v>
      </c>
    </row>
    <row r="15" spans="1:14" ht="12.75">
      <c r="A15" s="13">
        <f>9</f>
        <v>9</v>
      </c>
      <c r="B15" s="9">
        <v>169</v>
      </c>
      <c r="C15" s="9" t="s">
        <v>42</v>
      </c>
      <c r="D15" s="9" t="s">
        <v>43</v>
      </c>
      <c r="E15" s="9" t="s">
        <v>44</v>
      </c>
      <c r="F15" s="9"/>
      <c r="G15" s="9" t="s">
        <v>18</v>
      </c>
      <c r="H15" s="9"/>
      <c r="I15" s="9">
        <v>145</v>
      </c>
      <c r="J15" s="9">
        <v>130</v>
      </c>
      <c r="K15" s="9">
        <v>143</v>
      </c>
      <c r="L15" s="9">
        <v>148</v>
      </c>
      <c r="M15" s="9">
        <f t="shared" si="0"/>
        <v>143</v>
      </c>
      <c r="N15" s="10">
        <f t="shared" si="1"/>
        <v>148</v>
      </c>
    </row>
    <row r="16" spans="1:14" ht="12.75">
      <c r="A16" s="13">
        <f>10</f>
        <v>10</v>
      </c>
      <c r="B16" s="9">
        <v>157</v>
      </c>
      <c r="C16" s="9" t="s">
        <v>45</v>
      </c>
      <c r="D16" s="9" t="s">
        <v>46</v>
      </c>
      <c r="E16" s="9" t="s">
        <v>47</v>
      </c>
      <c r="F16" s="9"/>
      <c r="G16" s="9" t="s">
        <v>18</v>
      </c>
      <c r="H16" s="9"/>
      <c r="I16" s="9">
        <v>129</v>
      </c>
      <c r="J16" s="9">
        <v>130</v>
      </c>
      <c r="K16" s="9">
        <v>148</v>
      </c>
      <c r="L16" s="9">
        <v>129</v>
      </c>
      <c r="M16" s="9">
        <f t="shared" si="0"/>
        <v>129</v>
      </c>
      <c r="N16" s="10">
        <f t="shared" si="1"/>
        <v>148</v>
      </c>
    </row>
    <row r="17" spans="1:14" ht="12.75">
      <c r="A17" s="13">
        <f>11</f>
        <v>11</v>
      </c>
      <c r="B17" s="9">
        <v>75</v>
      </c>
      <c r="C17" s="9" t="s">
        <v>48</v>
      </c>
      <c r="D17" s="9" t="s">
        <v>49</v>
      </c>
      <c r="E17" s="9"/>
      <c r="F17" s="9" t="s">
        <v>50</v>
      </c>
      <c r="G17" s="9" t="s">
        <v>18</v>
      </c>
      <c r="H17" s="9"/>
      <c r="I17" s="9">
        <v>112</v>
      </c>
      <c r="J17" s="9">
        <v>131</v>
      </c>
      <c r="K17" s="9">
        <v>148</v>
      </c>
      <c r="L17" s="9">
        <v>110</v>
      </c>
      <c r="M17" s="9">
        <f t="shared" si="0"/>
        <v>110</v>
      </c>
      <c r="N17" s="10">
        <f t="shared" si="1"/>
        <v>148</v>
      </c>
    </row>
    <row r="18" spans="1:14" ht="12.75">
      <c r="A18" s="13">
        <f>12</f>
        <v>12</v>
      </c>
      <c r="B18" s="9">
        <v>74</v>
      </c>
      <c r="C18" s="9" t="s">
        <v>51</v>
      </c>
      <c r="D18" s="9" t="s">
        <v>52</v>
      </c>
      <c r="E18" s="9" t="s">
        <v>53</v>
      </c>
      <c r="F18" s="9" t="s">
        <v>54</v>
      </c>
      <c r="G18" s="9" t="s">
        <v>18</v>
      </c>
      <c r="H18" s="9"/>
      <c r="I18" s="9">
        <v>123</v>
      </c>
      <c r="J18" s="9">
        <v>135</v>
      </c>
      <c r="K18" s="9">
        <v>147</v>
      </c>
      <c r="L18" s="9">
        <v>143</v>
      </c>
      <c r="M18" s="9">
        <f t="shared" si="0"/>
        <v>143</v>
      </c>
      <c r="N18" s="10">
        <f t="shared" si="1"/>
        <v>147</v>
      </c>
    </row>
    <row r="19" spans="1:14" ht="12.75">
      <c r="A19" s="13">
        <f>13</f>
        <v>13</v>
      </c>
      <c r="B19" s="9">
        <v>158</v>
      </c>
      <c r="C19" s="9" t="s">
        <v>55</v>
      </c>
      <c r="D19" s="9" t="s">
        <v>56</v>
      </c>
      <c r="E19" s="9" t="s">
        <v>57</v>
      </c>
      <c r="F19" s="9" t="s">
        <v>58</v>
      </c>
      <c r="G19" s="9" t="s">
        <v>18</v>
      </c>
      <c r="H19" s="9"/>
      <c r="I19" s="9">
        <v>85</v>
      </c>
      <c r="J19" s="9">
        <v>145</v>
      </c>
      <c r="K19" s="9">
        <v>146</v>
      </c>
      <c r="L19" s="9">
        <v>128</v>
      </c>
      <c r="M19" s="9">
        <f t="shared" si="0"/>
        <v>128</v>
      </c>
      <c r="N19" s="10">
        <f t="shared" si="1"/>
        <v>146</v>
      </c>
    </row>
    <row r="20" spans="1:14" ht="12.75">
      <c r="A20" s="13">
        <f>14</f>
        <v>14</v>
      </c>
      <c r="B20" s="9">
        <v>88</v>
      </c>
      <c r="C20" s="9" t="s">
        <v>59</v>
      </c>
      <c r="D20" s="9" t="s">
        <v>60</v>
      </c>
      <c r="E20" s="9" t="s">
        <v>61</v>
      </c>
      <c r="F20" s="9" t="s">
        <v>62</v>
      </c>
      <c r="G20" s="9" t="s">
        <v>18</v>
      </c>
      <c r="H20" s="9"/>
      <c r="I20" s="9">
        <v>127</v>
      </c>
      <c r="J20" s="9">
        <v>143</v>
      </c>
      <c r="K20" s="9">
        <v>143</v>
      </c>
      <c r="L20" s="9">
        <v>145</v>
      </c>
      <c r="M20" s="9">
        <f t="shared" si="0"/>
        <v>143</v>
      </c>
      <c r="N20" s="10">
        <f t="shared" si="1"/>
        <v>145</v>
      </c>
    </row>
    <row r="21" spans="1:14" ht="12.75">
      <c r="A21" s="13">
        <f>15</f>
        <v>15</v>
      </c>
      <c r="B21" s="9">
        <v>57</v>
      </c>
      <c r="C21" s="9" t="s">
        <v>63</v>
      </c>
      <c r="D21" s="9" t="s">
        <v>64</v>
      </c>
      <c r="E21" s="9" t="s">
        <v>65</v>
      </c>
      <c r="F21" s="9" t="s">
        <v>66</v>
      </c>
      <c r="G21" s="9" t="s">
        <v>18</v>
      </c>
      <c r="H21" s="9"/>
      <c r="I21" s="9">
        <v>150</v>
      </c>
      <c r="J21" s="9">
        <v>140</v>
      </c>
      <c r="K21" s="9">
        <v>142</v>
      </c>
      <c r="L21" s="9">
        <v>145</v>
      </c>
      <c r="M21" s="9">
        <f t="shared" si="0"/>
        <v>142</v>
      </c>
      <c r="N21" s="10">
        <f t="shared" si="1"/>
        <v>145</v>
      </c>
    </row>
    <row r="22" spans="1:14" ht="12.75">
      <c r="A22" s="13">
        <f>16</f>
        <v>16</v>
      </c>
      <c r="B22" s="9">
        <v>97</v>
      </c>
      <c r="C22" s="9" t="s">
        <v>63</v>
      </c>
      <c r="D22" s="9" t="s">
        <v>64</v>
      </c>
      <c r="E22" s="9" t="s">
        <v>67</v>
      </c>
      <c r="F22" s="9" t="s">
        <v>66</v>
      </c>
      <c r="G22" s="9" t="s">
        <v>18</v>
      </c>
      <c r="H22" s="9"/>
      <c r="I22" s="9">
        <v>138</v>
      </c>
      <c r="J22" s="9">
        <v>138</v>
      </c>
      <c r="K22" s="9">
        <v>144</v>
      </c>
      <c r="L22" s="9">
        <v>129</v>
      </c>
      <c r="M22" s="9">
        <f t="shared" si="0"/>
        <v>129</v>
      </c>
      <c r="N22" s="10">
        <f t="shared" si="1"/>
        <v>144</v>
      </c>
    </row>
    <row r="23" spans="1:14" ht="12.75">
      <c r="A23" s="13">
        <f>17</f>
        <v>17</v>
      </c>
      <c r="B23" s="9">
        <v>181</v>
      </c>
      <c r="C23" s="9" t="s">
        <v>68</v>
      </c>
      <c r="D23" s="9" t="s">
        <v>69</v>
      </c>
      <c r="E23" s="9" t="s">
        <v>70</v>
      </c>
      <c r="F23" s="9" t="s">
        <v>71</v>
      </c>
      <c r="G23" s="9" t="s">
        <v>18</v>
      </c>
      <c r="H23" s="9"/>
      <c r="I23" s="9">
        <v>135</v>
      </c>
      <c r="J23" s="9">
        <v>131</v>
      </c>
      <c r="K23" s="9">
        <v>143</v>
      </c>
      <c r="L23" s="9">
        <v>131</v>
      </c>
      <c r="M23" s="9">
        <f t="shared" si="0"/>
        <v>131</v>
      </c>
      <c r="N23" s="10">
        <f t="shared" si="1"/>
        <v>143</v>
      </c>
    </row>
    <row r="24" spans="1:14" ht="12.75">
      <c r="A24" s="13">
        <f>18</f>
        <v>18</v>
      </c>
      <c r="B24" s="9">
        <v>186</v>
      </c>
      <c r="C24" s="9" t="s">
        <v>72</v>
      </c>
      <c r="D24" s="9" t="s">
        <v>73</v>
      </c>
      <c r="E24" s="9" t="s">
        <v>74</v>
      </c>
      <c r="F24" s="9" t="s">
        <v>58</v>
      </c>
      <c r="G24" s="9" t="s">
        <v>18</v>
      </c>
      <c r="H24" s="9"/>
      <c r="I24" s="9">
        <v>130</v>
      </c>
      <c r="J24" s="9">
        <v>134</v>
      </c>
      <c r="K24" s="9">
        <v>127</v>
      </c>
      <c r="L24" s="9">
        <v>142</v>
      </c>
      <c r="M24" s="9">
        <f t="shared" si="0"/>
        <v>127</v>
      </c>
      <c r="N24" s="10">
        <f t="shared" si="1"/>
        <v>142</v>
      </c>
    </row>
    <row r="25" spans="1:14" ht="12.75">
      <c r="A25" s="13">
        <f>19</f>
        <v>19</v>
      </c>
      <c r="B25" s="9">
        <v>131</v>
      </c>
      <c r="C25" s="9" t="s">
        <v>75</v>
      </c>
      <c r="D25" s="9" t="s">
        <v>76</v>
      </c>
      <c r="E25" s="9" t="s">
        <v>77</v>
      </c>
      <c r="F25" s="9" t="s">
        <v>78</v>
      </c>
      <c r="G25" s="9" t="s">
        <v>18</v>
      </c>
      <c r="H25" s="9"/>
      <c r="I25" s="9">
        <v>107</v>
      </c>
      <c r="J25" s="9">
        <v>120</v>
      </c>
      <c r="K25" s="9">
        <v>142</v>
      </c>
      <c r="L25" s="9">
        <v>125</v>
      </c>
      <c r="M25" s="9">
        <f t="shared" si="0"/>
        <v>125</v>
      </c>
      <c r="N25" s="10">
        <f t="shared" si="1"/>
        <v>142</v>
      </c>
    </row>
    <row r="26" spans="1:14" ht="12.75">
      <c r="A26" s="13">
        <f>20</f>
        <v>20</v>
      </c>
      <c r="B26" s="9">
        <v>95</v>
      </c>
      <c r="C26" s="9" t="s">
        <v>79</v>
      </c>
      <c r="D26" s="9" t="s">
        <v>80</v>
      </c>
      <c r="E26" s="9" t="s">
        <v>81</v>
      </c>
      <c r="F26" s="9" t="s">
        <v>82</v>
      </c>
      <c r="G26" s="9" t="s">
        <v>18</v>
      </c>
      <c r="H26" s="9"/>
      <c r="I26" s="9">
        <v>120</v>
      </c>
      <c r="J26" s="9">
        <v>125</v>
      </c>
      <c r="K26" s="9">
        <v>142</v>
      </c>
      <c r="L26" s="9">
        <v>105</v>
      </c>
      <c r="M26" s="9">
        <f t="shared" si="0"/>
        <v>105</v>
      </c>
      <c r="N26" s="10">
        <f t="shared" si="1"/>
        <v>142</v>
      </c>
    </row>
    <row r="27" spans="1:14" ht="12.75">
      <c r="A27" s="13">
        <f>21</f>
        <v>21</v>
      </c>
      <c r="B27" s="9">
        <v>133</v>
      </c>
      <c r="C27" s="9" t="s">
        <v>83</v>
      </c>
      <c r="D27" s="9" t="s">
        <v>84</v>
      </c>
      <c r="E27" s="9" t="s">
        <v>85</v>
      </c>
      <c r="F27" s="9" t="s">
        <v>86</v>
      </c>
      <c r="G27" s="9" t="s">
        <v>18</v>
      </c>
      <c r="H27" s="9"/>
      <c r="I27" s="9">
        <v>143</v>
      </c>
      <c r="J27" s="9">
        <v>87</v>
      </c>
      <c r="K27" s="9">
        <v>140</v>
      </c>
      <c r="L27" s="9">
        <v>135</v>
      </c>
      <c r="M27" s="9">
        <f t="shared" si="0"/>
        <v>135</v>
      </c>
      <c r="N27" s="10">
        <f t="shared" si="1"/>
        <v>140</v>
      </c>
    </row>
    <row r="28" spans="1:14" ht="12.75">
      <c r="A28" s="13">
        <f>22</f>
        <v>22</v>
      </c>
      <c r="B28" s="9">
        <v>197</v>
      </c>
      <c r="C28" s="9" t="s">
        <v>87</v>
      </c>
      <c r="D28" s="9" t="s">
        <v>88</v>
      </c>
      <c r="E28" s="9" t="s">
        <v>89</v>
      </c>
      <c r="F28" s="9" t="s">
        <v>90</v>
      </c>
      <c r="G28" s="9" t="s">
        <v>18</v>
      </c>
      <c r="H28" s="9"/>
      <c r="I28" s="9">
        <v>137</v>
      </c>
      <c r="J28" s="9">
        <v>139</v>
      </c>
      <c r="K28" s="9">
        <v>140</v>
      </c>
      <c r="L28" s="9">
        <v>128</v>
      </c>
      <c r="M28" s="9">
        <f t="shared" si="0"/>
        <v>128</v>
      </c>
      <c r="N28" s="10">
        <f t="shared" si="1"/>
        <v>140</v>
      </c>
    </row>
    <row r="29" spans="1:14" ht="12.75">
      <c r="A29" s="13">
        <f>23</f>
        <v>23</v>
      </c>
      <c r="B29" s="9">
        <v>118</v>
      </c>
      <c r="C29" s="9" t="s">
        <v>91</v>
      </c>
      <c r="D29" s="9" t="s">
        <v>92</v>
      </c>
      <c r="E29" s="9" t="s">
        <v>70</v>
      </c>
      <c r="F29" s="9" t="s">
        <v>93</v>
      </c>
      <c r="G29" s="9" t="s">
        <v>18</v>
      </c>
      <c r="H29" s="9"/>
      <c r="I29" s="9">
        <v>113</v>
      </c>
      <c r="J29" s="9">
        <v>125</v>
      </c>
      <c r="K29" s="9">
        <v>126</v>
      </c>
      <c r="L29" s="9">
        <v>140</v>
      </c>
      <c r="M29" s="9">
        <f t="shared" si="0"/>
        <v>126</v>
      </c>
      <c r="N29" s="10">
        <f t="shared" si="1"/>
        <v>140</v>
      </c>
    </row>
    <row r="30" spans="1:14" ht="12.75">
      <c r="A30" s="13">
        <f>24</f>
        <v>24</v>
      </c>
      <c r="B30" s="9">
        <v>77</v>
      </c>
      <c r="C30" s="9" t="s">
        <v>94</v>
      </c>
      <c r="D30" s="9" t="s">
        <v>95</v>
      </c>
      <c r="E30" s="9" t="s">
        <v>77</v>
      </c>
      <c r="F30" s="9" t="s">
        <v>96</v>
      </c>
      <c r="G30" s="9" t="s">
        <v>18</v>
      </c>
      <c r="H30" s="9"/>
      <c r="I30" s="9">
        <v>137</v>
      </c>
      <c r="J30" s="9">
        <v>136</v>
      </c>
      <c r="K30" s="9">
        <v>125</v>
      </c>
      <c r="L30" s="9">
        <v>140</v>
      </c>
      <c r="M30" s="9">
        <f t="shared" si="0"/>
        <v>125</v>
      </c>
      <c r="N30" s="10">
        <f t="shared" si="1"/>
        <v>140</v>
      </c>
    </row>
    <row r="31" spans="1:14" ht="12.75">
      <c r="A31" s="13">
        <f>25</f>
        <v>25</v>
      </c>
      <c r="B31" s="9">
        <v>81</v>
      </c>
      <c r="C31" s="9" t="s">
        <v>97</v>
      </c>
      <c r="D31" s="9" t="s">
        <v>98</v>
      </c>
      <c r="E31" s="9" t="s">
        <v>99</v>
      </c>
      <c r="F31" s="9" t="s">
        <v>100</v>
      </c>
      <c r="G31" s="9" t="s">
        <v>18</v>
      </c>
      <c r="H31" s="9"/>
      <c r="I31" s="9">
        <v>103</v>
      </c>
      <c r="J31" s="9">
        <v>123</v>
      </c>
      <c r="K31" s="9">
        <v>140</v>
      </c>
      <c r="L31" s="9">
        <v>124</v>
      </c>
      <c r="M31" s="9">
        <f t="shared" si="0"/>
        <v>124</v>
      </c>
      <c r="N31" s="10">
        <f t="shared" si="1"/>
        <v>140</v>
      </c>
    </row>
    <row r="32" spans="1:14" ht="12.75">
      <c r="A32" s="13">
        <f>26</f>
        <v>26</v>
      </c>
      <c r="B32" s="9">
        <v>58</v>
      </c>
      <c r="C32" s="9" t="s">
        <v>101</v>
      </c>
      <c r="D32" s="9" t="s">
        <v>102</v>
      </c>
      <c r="E32" s="9" t="s">
        <v>103</v>
      </c>
      <c r="F32" s="9" t="s">
        <v>104</v>
      </c>
      <c r="G32" s="9" t="s">
        <v>18</v>
      </c>
      <c r="H32" s="9"/>
      <c r="I32" s="9">
        <v>88</v>
      </c>
      <c r="J32" s="9">
        <v>130</v>
      </c>
      <c r="K32" s="9">
        <v>106</v>
      </c>
      <c r="L32" s="9">
        <v>140</v>
      </c>
      <c r="M32" s="9">
        <f t="shared" si="0"/>
        <v>106</v>
      </c>
      <c r="N32" s="10">
        <f t="shared" si="1"/>
        <v>140</v>
      </c>
    </row>
    <row r="33" spans="1:14" ht="12.75">
      <c r="A33" s="13">
        <f>27</f>
        <v>27</v>
      </c>
      <c r="B33" s="9">
        <v>127</v>
      </c>
      <c r="C33" s="9" t="s">
        <v>105</v>
      </c>
      <c r="D33" s="9" t="s">
        <v>106</v>
      </c>
      <c r="E33" s="9" t="s">
        <v>57</v>
      </c>
      <c r="F33" s="9" t="s">
        <v>107</v>
      </c>
      <c r="G33" s="9" t="s">
        <v>18</v>
      </c>
      <c r="H33" s="9"/>
      <c r="I33" s="9">
        <v>132</v>
      </c>
      <c r="J33" s="9">
        <v>149</v>
      </c>
      <c r="K33" s="9">
        <v>135</v>
      </c>
      <c r="L33" s="9">
        <v>139</v>
      </c>
      <c r="M33" s="9">
        <f t="shared" si="0"/>
        <v>135</v>
      </c>
      <c r="N33" s="10">
        <f t="shared" si="1"/>
        <v>139</v>
      </c>
    </row>
    <row r="34" spans="1:14" ht="12.75">
      <c r="A34" s="13">
        <f>27</f>
        <v>27</v>
      </c>
      <c r="B34" s="9">
        <v>172</v>
      </c>
      <c r="C34" s="9" t="s">
        <v>108</v>
      </c>
      <c r="D34" s="9" t="s">
        <v>109</v>
      </c>
      <c r="E34" s="9" t="s">
        <v>67</v>
      </c>
      <c r="F34" s="9"/>
      <c r="G34" s="9" t="s">
        <v>18</v>
      </c>
      <c r="H34" s="9"/>
      <c r="I34" s="9">
        <v>102</v>
      </c>
      <c r="J34" s="9">
        <v>140</v>
      </c>
      <c r="K34" s="9">
        <v>135</v>
      </c>
      <c r="L34" s="9">
        <v>139</v>
      </c>
      <c r="M34" s="9">
        <f t="shared" si="0"/>
        <v>135</v>
      </c>
      <c r="N34" s="10">
        <f t="shared" si="1"/>
        <v>139</v>
      </c>
    </row>
    <row r="35" spans="1:14" ht="12.75">
      <c r="A35" s="13">
        <f>29</f>
        <v>29</v>
      </c>
      <c r="B35" s="9">
        <v>189</v>
      </c>
      <c r="C35" s="9" t="s">
        <v>110</v>
      </c>
      <c r="D35" s="9" t="s">
        <v>111</v>
      </c>
      <c r="E35" s="9" t="s">
        <v>112</v>
      </c>
      <c r="F35" s="9" t="s">
        <v>113</v>
      </c>
      <c r="G35" s="9" t="s">
        <v>18</v>
      </c>
      <c r="H35" s="9"/>
      <c r="I35" s="9">
        <v>127</v>
      </c>
      <c r="J35" s="9"/>
      <c r="K35" s="9">
        <v>138</v>
      </c>
      <c r="L35" s="9">
        <v>125</v>
      </c>
      <c r="M35" s="9">
        <f t="shared" si="0"/>
        <v>125</v>
      </c>
      <c r="N35" s="10">
        <f t="shared" si="1"/>
        <v>138</v>
      </c>
    </row>
    <row r="36" spans="1:14" ht="12.75">
      <c r="A36" s="13">
        <f>30</f>
        <v>30</v>
      </c>
      <c r="B36" s="9">
        <v>196</v>
      </c>
      <c r="C36" s="9" t="s">
        <v>114</v>
      </c>
      <c r="D36" s="9"/>
      <c r="E36" s="9" t="s">
        <v>115</v>
      </c>
      <c r="F36" s="9"/>
      <c r="G36" s="9" t="s">
        <v>18</v>
      </c>
      <c r="H36" s="9"/>
      <c r="I36" s="9">
        <v>98</v>
      </c>
      <c r="J36" s="9">
        <v>120</v>
      </c>
      <c r="K36" s="9">
        <v>138</v>
      </c>
      <c r="L36" s="9">
        <v>104</v>
      </c>
      <c r="M36" s="9">
        <f t="shared" si="0"/>
        <v>104</v>
      </c>
      <c r="N36" s="10">
        <f t="shared" si="1"/>
        <v>138</v>
      </c>
    </row>
    <row r="37" spans="1:14" ht="12.75">
      <c r="A37" s="13">
        <f>31</f>
        <v>31</v>
      </c>
      <c r="B37" s="9">
        <v>114</v>
      </c>
      <c r="C37" s="9" t="s">
        <v>116</v>
      </c>
      <c r="D37" s="9" t="s">
        <v>117</v>
      </c>
      <c r="E37" s="9" t="s">
        <v>23</v>
      </c>
      <c r="F37" s="9" t="s">
        <v>118</v>
      </c>
      <c r="G37" s="9" t="s">
        <v>18</v>
      </c>
      <c r="H37" s="9"/>
      <c r="I37" s="9">
        <v>137</v>
      </c>
      <c r="J37" s="9">
        <v>135</v>
      </c>
      <c r="K37" s="9">
        <v>137</v>
      </c>
      <c r="L37" s="9">
        <v>133</v>
      </c>
      <c r="M37" s="9">
        <f t="shared" si="0"/>
        <v>133</v>
      </c>
      <c r="N37" s="10">
        <f t="shared" si="1"/>
        <v>137</v>
      </c>
    </row>
    <row r="38" spans="1:14" ht="12.75">
      <c r="A38" s="13">
        <f>32</f>
        <v>32</v>
      </c>
      <c r="B38" s="9">
        <v>190</v>
      </c>
      <c r="C38" s="9" t="s">
        <v>119</v>
      </c>
      <c r="D38" s="9" t="s">
        <v>120</v>
      </c>
      <c r="E38" s="9" t="s">
        <v>40</v>
      </c>
      <c r="F38" s="9"/>
      <c r="G38" s="9" t="s">
        <v>18</v>
      </c>
      <c r="H38" s="9"/>
      <c r="I38" s="9">
        <v>126</v>
      </c>
      <c r="J38" s="9">
        <v>118</v>
      </c>
      <c r="K38" s="9">
        <v>125</v>
      </c>
      <c r="L38" s="9">
        <v>137</v>
      </c>
      <c r="M38" s="9">
        <f t="shared" si="0"/>
        <v>125</v>
      </c>
      <c r="N38" s="10">
        <f t="shared" si="1"/>
        <v>137</v>
      </c>
    </row>
    <row r="39" spans="1:14" ht="12.75">
      <c r="A39" s="13">
        <f>33</f>
        <v>33</v>
      </c>
      <c r="B39" s="9">
        <v>104</v>
      </c>
      <c r="C39" s="9" t="s">
        <v>121</v>
      </c>
      <c r="D39" s="9" t="s">
        <v>122</v>
      </c>
      <c r="E39" s="9" t="s">
        <v>123</v>
      </c>
      <c r="F39" s="9" t="s">
        <v>124</v>
      </c>
      <c r="G39" s="9" t="s">
        <v>18</v>
      </c>
      <c r="H39" s="9"/>
      <c r="I39" s="9">
        <v>134</v>
      </c>
      <c r="J39" s="9">
        <v>136</v>
      </c>
      <c r="K39" s="9">
        <v>135</v>
      </c>
      <c r="L39" s="9">
        <v>136</v>
      </c>
      <c r="M39" s="9">
        <f aca="true" t="shared" si="2" ref="M39:M70">MIN(K39:L39)</f>
        <v>135</v>
      </c>
      <c r="N39" s="10">
        <f aca="true" t="shared" si="3" ref="N39:N70">MAX(K39:L39)</f>
        <v>136</v>
      </c>
    </row>
    <row r="40" spans="1:14" ht="12.75">
      <c r="A40" s="13">
        <f>34</f>
        <v>34</v>
      </c>
      <c r="B40" s="9">
        <v>188</v>
      </c>
      <c r="C40" s="9" t="s">
        <v>125</v>
      </c>
      <c r="D40" s="9" t="s">
        <v>126</v>
      </c>
      <c r="E40" s="9" t="s">
        <v>85</v>
      </c>
      <c r="F40" s="9" t="s">
        <v>113</v>
      </c>
      <c r="G40" s="9" t="s">
        <v>18</v>
      </c>
      <c r="H40" s="9"/>
      <c r="I40" s="9">
        <v>105</v>
      </c>
      <c r="J40" s="9">
        <v>120</v>
      </c>
      <c r="K40" s="9">
        <v>136</v>
      </c>
      <c r="L40" s="9">
        <v>134</v>
      </c>
      <c r="M40" s="9">
        <f t="shared" si="2"/>
        <v>134</v>
      </c>
      <c r="N40" s="10">
        <f t="shared" si="3"/>
        <v>136</v>
      </c>
    </row>
    <row r="41" spans="1:14" ht="12.75">
      <c r="A41" s="13">
        <f>35</f>
        <v>35</v>
      </c>
      <c r="B41" s="9">
        <v>182</v>
      </c>
      <c r="C41" s="9" t="s">
        <v>127</v>
      </c>
      <c r="D41" s="9" t="s">
        <v>128</v>
      </c>
      <c r="E41" s="9" t="s">
        <v>129</v>
      </c>
      <c r="F41" s="9" t="s">
        <v>58</v>
      </c>
      <c r="G41" s="9" t="s">
        <v>18</v>
      </c>
      <c r="H41" s="9"/>
      <c r="I41" s="9">
        <v>125</v>
      </c>
      <c r="J41" s="9">
        <v>117</v>
      </c>
      <c r="K41" s="9">
        <v>136</v>
      </c>
      <c r="L41" s="9">
        <v>128</v>
      </c>
      <c r="M41" s="9">
        <f t="shared" si="2"/>
        <v>128</v>
      </c>
      <c r="N41" s="10">
        <f t="shared" si="3"/>
        <v>136</v>
      </c>
    </row>
    <row r="42" spans="1:14" ht="12.75">
      <c r="A42" s="13">
        <f>36</f>
        <v>36</v>
      </c>
      <c r="B42" s="9">
        <v>59</v>
      </c>
      <c r="C42" s="9" t="s">
        <v>130</v>
      </c>
      <c r="D42" s="9" t="s">
        <v>39</v>
      </c>
      <c r="E42" s="9" t="s">
        <v>131</v>
      </c>
      <c r="F42" s="9"/>
      <c r="G42" s="9" t="s">
        <v>18</v>
      </c>
      <c r="H42" s="9"/>
      <c r="I42" s="9">
        <v>126</v>
      </c>
      <c r="J42" s="9">
        <v>119</v>
      </c>
      <c r="K42" s="9">
        <v>136</v>
      </c>
      <c r="L42" s="9">
        <v>125</v>
      </c>
      <c r="M42" s="9">
        <f t="shared" si="2"/>
        <v>125</v>
      </c>
      <c r="N42" s="10">
        <f t="shared" si="3"/>
        <v>136</v>
      </c>
    </row>
    <row r="43" spans="1:14" ht="12.75">
      <c r="A43" s="13">
        <f>36</f>
        <v>36</v>
      </c>
      <c r="B43" s="9">
        <v>171</v>
      </c>
      <c r="C43" s="9" t="s">
        <v>132</v>
      </c>
      <c r="D43" s="9" t="s">
        <v>133</v>
      </c>
      <c r="E43" s="9" t="s">
        <v>67</v>
      </c>
      <c r="F43" s="9" t="s">
        <v>134</v>
      </c>
      <c r="G43" s="9" t="s">
        <v>18</v>
      </c>
      <c r="H43" s="9"/>
      <c r="I43" s="9">
        <v>96</v>
      </c>
      <c r="J43" s="9">
        <v>110</v>
      </c>
      <c r="K43" s="9">
        <v>125</v>
      </c>
      <c r="L43" s="9">
        <v>136</v>
      </c>
      <c r="M43" s="9">
        <f t="shared" si="2"/>
        <v>125</v>
      </c>
      <c r="N43" s="10">
        <f t="shared" si="3"/>
        <v>136</v>
      </c>
    </row>
    <row r="44" spans="1:14" ht="12.75">
      <c r="A44" s="13">
        <f>38</f>
        <v>38</v>
      </c>
      <c r="B44" s="9">
        <v>53</v>
      </c>
      <c r="C44" s="9" t="s">
        <v>135</v>
      </c>
      <c r="D44" s="9" t="s">
        <v>136</v>
      </c>
      <c r="E44" s="9" t="s">
        <v>123</v>
      </c>
      <c r="F44" s="9" t="s">
        <v>137</v>
      </c>
      <c r="G44" s="9" t="s">
        <v>18</v>
      </c>
      <c r="H44" s="9"/>
      <c r="I44" s="9">
        <v>115</v>
      </c>
      <c r="J44" s="9">
        <v>92</v>
      </c>
      <c r="K44" s="9">
        <v>135</v>
      </c>
      <c r="L44" s="9">
        <v>127</v>
      </c>
      <c r="M44" s="9">
        <f t="shared" si="2"/>
        <v>127</v>
      </c>
      <c r="N44" s="10">
        <f t="shared" si="3"/>
        <v>135</v>
      </c>
    </row>
    <row r="45" spans="1:14" ht="12.75">
      <c r="A45" s="13">
        <f>39</f>
        <v>39</v>
      </c>
      <c r="B45" s="9">
        <v>187</v>
      </c>
      <c r="C45" s="9" t="s">
        <v>138</v>
      </c>
      <c r="D45" s="9" t="s">
        <v>139</v>
      </c>
      <c r="E45" s="9" t="s">
        <v>67</v>
      </c>
      <c r="F45" s="9"/>
      <c r="G45" s="9" t="s">
        <v>18</v>
      </c>
      <c r="H45" s="9"/>
      <c r="I45" s="9">
        <v>128</v>
      </c>
      <c r="J45" s="9">
        <v>115</v>
      </c>
      <c r="K45" s="9">
        <v>135</v>
      </c>
      <c r="L45" s="9">
        <v>125</v>
      </c>
      <c r="M45" s="9">
        <f t="shared" si="2"/>
        <v>125</v>
      </c>
      <c r="N45" s="10">
        <f t="shared" si="3"/>
        <v>135</v>
      </c>
    </row>
    <row r="46" spans="1:14" ht="12.75">
      <c r="A46" s="13">
        <f>40</f>
        <v>40</v>
      </c>
      <c r="B46" s="9">
        <v>174</v>
      </c>
      <c r="C46" s="9" t="s">
        <v>140</v>
      </c>
      <c r="D46" s="9" t="s">
        <v>141</v>
      </c>
      <c r="E46" s="9" t="s">
        <v>123</v>
      </c>
      <c r="F46" s="9"/>
      <c r="G46" s="9" t="s">
        <v>18</v>
      </c>
      <c r="H46" s="9"/>
      <c r="I46" s="9">
        <v>121</v>
      </c>
      <c r="J46" s="9">
        <v>103</v>
      </c>
      <c r="K46" s="9">
        <v>135</v>
      </c>
      <c r="L46" s="9">
        <v>118</v>
      </c>
      <c r="M46" s="9">
        <f t="shared" si="2"/>
        <v>118</v>
      </c>
      <c r="N46" s="10">
        <f t="shared" si="3"/>
        <v>135</v>
      </c>
    </row>
    <row r="47" spans="1:14" ht="12.75">
      <c r="A47" s="13">
        <f>41</f>
        <v>41</v>
      </c>
      <c r="B47" s="9">
        <v>159</v>
      </c>
      <c r="C47" s="9" t="s">
        <v>142</v>
      </c>
      <c r="D47" s="9" t="s">
        <v>143</v>
      </c>
      <c r="E47" s="9" t="s">
        <v>89</v>
      </c>
      <c r="F47" s="9" t="s">
        <v>144</v>
      </c>
      <c r="G47" s="9" t="s">
        <v>18</v>
      </c>
      <c r="H47" s="9"/>
      <c r="I47" s="9"/>
      <c r="J47" s="9"/>
      <c r="K47" s="9">
        <v>117</v>
      </c>
      <c r="L47" s="9">
        <v>135</v>
      </c>
      <c r="M47" s="9">
        <f t="shared" si="2"/>
        <v>117</v>
      </c>
      <c r="N47" s="10">
        <f t="shared" si="3"/>
        <v>135</v>
      </c>
    </row>
    <row r="48" spans="1:14" ht="12.75">
      <c r="A48" s="13">
        <f>42</f>
        <v>42</v>
      </c>
      <c r="B48" s="9">
        <v>111</v>
      </c>
      <c r="C48" s="9" t="s">
        <v>145</v>
      </c>
      <c r="D48" s="9" t="s">
        <v>80</v>
      </c>
      <c r="E48" s="9" t="s">
        <v>112</v>
      </c>
      <c r="F48" s="9" t="s">
        <v>82</v>
      </c>
      <c r="G48" s="9" t="s">
        <v>18</v>
      </c>
      <c r="H48" s="9"/>
      <c r="I48" s="9">
        <v>122</v>
      </c>
      <c r="J48" s="9">
        <v>143</v>
      </c>
      <c r="K48" s="9">
        <v>130</v>
      </c>
      <c r="L48" s="9">
        <v>134</v>
      </c>
      <c r="M48" s="9">
        <f t="shared" si="2"/>
        <v>130</v>
      </c>
      <c r="N48" s="10">
        <f t="shared" si="3"/>
        <v>134</v>
      </c>
    </row>
    <row r="49" spans="1:14" ht="12.75">
      <c r="A49" s="13">
        <f>43</f>
        <v>43</v>
      </c>
      <c r="B49" s="9">
        <v>61</v>
      </c>
      <c r="C49" s="9" t="s">
        <v>146</v>
      </c>
      <c r="D49" s="9" t="s">
        <v>147</v>
      </c>
      <c r="E49" s="9" t="s">
        <v>148</v>
      </c>
      <c r="F49" s="9"/>
      <c r="G49" s="9" t="s">
        <v>18</v>
      </c>
      <c r="H49" s="9"/>
      <c r="I49" s="9">
        <v>112</v>
      </c>
      <c r="J49" s="9">
        <v>101</v>
      </c>
      <c r="K49" s="9">
        <v>123</v>
      </c>
      <c r="L49" s="9">
        <v>134</v>
      </c>
      <c r="M49" s="9">
        <f t="shared" si="2"/>
        <v>123</v>
      </c>
      <c r="N49" s="10">
        <f t="shared" si="3"/>
        <v>134</v>
      </c>
    </row>
    <row r="50" spans="1:14" ht="12.75">
      <c r="A50" s="13">
        <f>44</f>
        <v>44</v>
      </c>
      <c r="B50" s="9">
        <v>202</v>
      </c>
      <c r="C50" s="9" t="s">
        <v>149</v>
      </c>
      <c r="D50" s="9" t="s">
        <v>102</v>
      </c>
      <c r="E50" s="9"/>
      <c r="F50" s="9" t="s">
        <v>150</v>
      </c>
      <c r="G50" s="9" t="s">
        <v>18</v>
      </c>
      <c r="H50" s="9"/>
      <c r="I50" s="9">
        <v>75</v>
      </c>
      <c r="J50" s="9">
        <v>79</v>
      </c>
      <c r="K50" s="9">
        <v>133</v>
      </c>
      <c r="L50" s="9">
        <v>122</v>
      </c>
      <c r="M50" s="9">
        <f t="shared" si="2"/>
        <v>122</v>
      </c>
      <c r="N50" s="10">
        <f t="shared" si="3"/>
        <v>133</v>
      </c>
    </row>
    <row r="51" spans="1:14" ht="12.75">
      <c r="A51" s="13">
        <f>45</f>
        <v>45</v>
      </c>
      <c r="B51" s="9">
        <v>128</v>
      </c>
      <c r="C51" s="9" t="s">
        <v>151</v>
      </c>
      <c r="D51" s="9" t="s">
        <v>152</v>
      </c>
      <c r="E51" s="9" t="s">
        <v>153</v>
      </c>
      <c r="F51" s="9" t="s">
        <v>154</v>
      </c>
      <c r="G51" s="9" t="s">
        <v>18</v>
      </c>
      <c r="H51" s="9"/>
      <c r="I51" s="9">
        <v>118</v>
      </c>
      <c r="J51" s="9">
        <v>123</v>
      </c>
      <c r="K51" s="9">
        <v>132</v>
      </c>
      <c r="L51" s="9">
        <v>131</v>
      </c>
      <c r="M51" s="9">
        <f t="shared" si="2"/>
        <v>131</v>
      </c>
      <c r="N51" s="10">
        <f t="shared" si="3"/>
        <v>132</v>
      </c>
    </row>
    <row r="52" spans="1:14" ht="12.75">
      <c r="A52" s="13">
        <f>46</f>
        <v>46</v>
      </c>
      <c r="B52" s="9">
        <v>193</v>
      </c>
      <c r="C52" s="9" t="s">
        <v>155</v>
      </c>
      <c r="D52" s="9" t="s">
        <v>69</v>
      </c>
      <c r="E52" s="9" t="s">
        <v>16</v>
      </c>
      <c r="F52" s="9" t="s">
        <v>156</v>
      </c>
      <c r="G52" s="9" t="s">
        <v>18</v>
      </c>
      <c r="H52" s="9"/>
      <c r="I52" s="9">
        <v>125</v>
      </c>
      <c r="J52" s="9">
        <v>117</v>
      </c>
      <c r="K52" s="9">
        <v>132</v>
      </c>
      <c r="L52" s="9">
        <v>130</v>
      </c>
      <c r="M52" s="9">
        <f t="shared" si="2"/>
        <v>130</v>
      </c>
      <c r="N52" s="10">
        <f t="shared" si="3"/>
        <v>132</v>
      </c>
    </row>
    <row r="53" spans="1:14" ht="12.75">
      <c r="A53" s="13">
        <f>47</f>
        <v>47</v>
      </c>
      <c r="B53" s="9">
        <v>135</v>
      </c>
      <c r="C53" s="9" t="s">
        <v>157</v>
      </c>
      <c r="D53" s="9" t="s">
        <v>158</v>
      </c>
      <c r="E53" s="9" t="s">
        <v>159</v>
      </c>
      <c r="F53" s="9"/>
      <c r="G53" s="9" t="s">
        <v>18</v>
      </c>
      <c r="H53" s="9"/>
      <c r="I53" s="9">
        <v>122</v>
      </c>
      <c r="J53" s="9">
        <v>119</v>
      </c>
      <c r="K53" s="9">
        <v>132</v>
      </c>
      <c r="L53" s="9">
        <v>129</v>
      </c>
      <c r="M53" s="9">
        <f t="shared" si="2"/>
        <v>129</v>
      </c>
      <c r="N53" s="10">
        <f t="shared" si="3"/>
        <v>132</v>
      </c>
    </row>
    <row r="54" spans="1:14" ht="12.75">
      <c r="A54" s="13">
        <f>48</f>
        <v>48</v>
      </c>
      <c r="B54" s="9">
        <v>80</v>
      </c>
      <c r="C54" s="9" t="s">
        <v>160</v>
      </c>
      <c r="D54" s="9" t="s">
        <v>161</v>
      </c>
      <c r="E54" s="9" t="s">
        <v>162</v>
      </c>
      <c r="F54" s="9" t="s">
        <v>163</v>
      </c>
      <c r="G54" s="9" t="s">
        <v>18</v>
      </c>
      <c r="H54" s="9"/>
      <c r="I54" s="9">
        <v>120</v>
      </c>
      <c r="J54" s="9">
        <v>125</v>
      </c>
      <c r="K54" s="9">
        <v>132</v>
      </c>
      <c r="L54" s="9">
        <v>125</v>
      </c>
      <c r="M54" s="9">
        <f t="shared" si="2"/>
        <v>125</v>
      </c>
      <c r="N54" s="10">
        <f t="shared" si="3"/>
        <v>132</v>
      </c>
    </row>
    <row r="55" spans="1:14" ht="12.75">
      <c r="A55" s="13">
        <f>49</f>
        <v>49</v>
      </c>
      <c r="B55" s="9">
        <v>138</v>
      </c>
      <c r="C55" s="9" t="s">
        <v>164</v>
      </c>
      <c r="D55" s="9" t="s">
        <v>102</v>
      </c>
      <c r="E55" s="9" t="s">
        <v>165</v>
      </c>
      <c r="F55" s="9" t="s">
        <v>150</v>
      </c>
      <c r="G55" s="9" t="s">
        <v>18</v>
      </c>
      <c r="H55" s="9"/>
      <c r="I55" s="9">
        <v>118</v>
      </c>
      <c r="J55" s="9">
        <v>132</v>
      </c>
      <c r="K55" s="9">
        <v>132</v>
      </c>
      <c r="L55" s="9">
        <v>104</v>
      </c>
      <c r="M55" s="9">
        <f t="shared" si="2"/>
        <v>104</v>
      </c>
      <c r="N55" s="10">
        <f t="shared" si="3"/>
        <v>132</v>
      </c>
    </row>
    <row r="56" spans="1:14" ht="12.75">
      <c r="A56" s="13">
        <f>50</f>
        <v>50</v>
      </c>
      <c r="B56" s="9">
        <v>56</v>
      </c>
      <c r="C56" s="9" t="s">
        <v>166</v>
      </c>
      <c r="D56" s="9" t="s">
        <v>95</v>
      </c>
      <c r="E56" s="9" t="s">
        <v>67</v>
      </c>
      <c r="F56" s="9" t="s">
        <v>167</v>
      </c>
      <c r="G56" s="9" t="s">
        <v>18</v>
      </c>
      <c r="H56" s="9"/>
      <c r="I56" s="9">
        <v>142</v>
      </c>
      <c r="J56" s="9">
        <v>123</v>
      </c>
      <c r="K56" s="9">
        <v>131</v>
      </c>
      <c r="L56" s="9">
        <v>127</v>
      </c>
      <c r="M56" s="9">
        <f t="shared" si="2"/>
        <v>127</v>
      </c>
      <c r="N56" s="10">
        <f t="shared" si="3"/>
        <v>131</v>
      </c>
    </row>
    <row r="57" spans="1:14" ht="12.75">
      <c r="A57" s="13">
        <f>51</f>
        <v>51</v>
      </c>
      <c r="B57" s="9">
        <v>110</v>
      </c>
      <c r="C57" s="9" t="s">
        <v>168</v>
      </c>
      <c r="D57" s="9" t="s">
        <v>169</v>
      </c>
      <c r="E57" s="9" t="s">
        <v>53</v>
      </c>
      <c r="F57" s="9"/>
      <c r="G57" s="9" t="s">
        <v>18</v>
      </c>
      <c r="H57" s="9"/>
      <c r="I57" s="9">
        <v>136</v>
      </c>
      <c r="J57" s="9">
        <v>134</v>
      </c>
      <c r="K57" s="9">
        <v>112</v>
      </c>
      <c r="L57" s="9">
        <v>131</v>
      </c>
      <c r="M57" s="9">
        <f t="shared" si="2"/>
        <v>112</v>
      </c>
      <c r="N57" s="10">
        <f t="shared" si="3"/>
        <v>131</v>
      </c>
    </row>
    <row r="58" spans="1:14" ht="12.75">
      <c r="A58" s="13">
        <f>52</f>
        <v>52</v>
      </c>
      <c r="B58" s="9">
        <v>102</v>
      </c>
      <c r="C58" s="9" t="s">
        <v>170</v>
      </c>
      <c r="D58" s="9" t="s">
        <v>73</v>
      </c>
      <c r="E58" s="9" t="s">
        <v>171</v>
      </c>
      <c r="F58" s="9" t="s">
        <v>58</v>
      </c>
      <c r="G58" s="9" t="s">
        <v>18</v>
      </c>
      <c r="H58" s="9"/>
      <c r="I58" s="9">
        <v>114</v>
      </c>
      <c r="J58" s="9">
        <v>120</v>
      </c>
      <c r="K58" s="9">
        <v>131</v>
      </c>
      <c r="L58" s="9">
        <v>98</v>
      </c>
      <c r="M58" s="9">
        <f t="shared" si="2"/>
        <v>98</v>
      </c>
      <c r="N58" s="10">
        <f t="shared" si="3"/>
        <v>131</v>
      </c>
    </row>
    <row r="59" spans="1:14" ht="12.75">
      <c r="A59" s="13">
        <f>53</f>
        <v>53</v>
      </c>
      <c r="B59" s="9">
        <v>71</v>
      </c>
      <c r="C59" s="9" t="s">
        <v>172</v>
      </c>
      <c r="D59" s="9" t="s">
        <v>173</v>
      </c>
      <c r="E59" s="9" t="s">
        <v>70</v>
      </c>
      <c r="F59" s="9" t="s">
        <v>174</v>
      </c>
      <c r="G59" s="9" t="s">
        <v>18</v>
      </c>
      <c r="H59" s="9"/>
      <c r="I59" s="9">
        <v>88</v>
      </c>
      <c r="J59" s="9">
        <v>95</v>
      </c>
      <c r="K59" s="9">
        <v>131</v>
      </c>
      <c r="L59" s="9">
        <v>70</v>
      </c>
      <c r="M59" s="9">
        <f t="shared" si="2"/>
        <v>70</v>
      </c>
      <c r="N59" s="10">
        <f t="shared" si="3"/>
        <v>131</v>
      </c>
    </row>
    <row r="60" spans="1:14" ht="12.75">
      <c r="A60" s="13">
        <f>54</f>
        <v>54</v>
      </c>
      <c r="B60" s="9">
        <v>177</v>
      </c>
      <c r="C60" s="9" t="s">
        <v>175</v>
      </c>
      <c r="D60" s="9" t="s">
        <v>176</v>
      </c>
      <c r="E60" s="9"/>
      <c r="F60" s="9" t="s">
        <v>177</v>
      </c>
      <c r="G60" s="9" t="s">
        <v>18</v>
      </c>
      <c r="H60" s="9"/>
      <c r="I60" s="9">
        <v>108</v>
      </c>
      <c r="J60" s="9">
        <v>121</v>
      </c>
      <c r="K60" s="9">
        <v>130</v>
      </c>
      <c r="L60" s="9">
        <v>130</v>
      </c>
      <c r="M60" s="9">
        <f t="shared" si="2"/>
        <v>130</v>
      </c>
      <c r="N60" s="10">
        <f t="shared" si="3"/>
        <v>130</v>
      </c>
    </row>
    <row r="61" spans="1:14" ht="12.75">
      <c r="A61" s="13">
        <f>55</f>
        <v>55</v>
      </c>
      <c r="B61" s="9">
        <v>78</v>
      </c>
      <c r="C61" s="9" t="s">
        <v>178</v>
      </c>
      <c r="D61" s="9" t="s">
        <v>179</v>
      </c>
      <c r="E61" s="9" t="s">
        <v>16</v>
      </c>
      <c r="F61" s="9" t="s">
        <v>180</v>
      </c>
      <c r="G61" s="9" t="s">
        <v>18</v>
      </c>
      <c r="H61" s="9"/>
      <c r="I61" s="9"/>
      <c r="J61" s="9">
        <v>69</v>
      </c>
      <c r="K61" s="9">
        <v>130</v>
      </c>
      <c r="L61" s="9">
        <v>125</v>
      </c>
      <c r="M61" s="9">
        <f t="shared" si="2"/>
        <v>125</v>
      </c>
      <c r="N61" s="10">
        <f t="shared" si="3"/>
        <v>130</v>
      </c>
    </row>
    <row r="62" spans="1:14" ht="12.75">
      <c r="A62" s="13">
        <f>56</f>
        <v>56</v>
      </c>
      <c r="B62" s="9">
        <v>199</v>
      </c>
      <c r="C62" s="9" t="s">
        <v>160</v>
      </c>
      <c r="D62" s="9" t="s">
        <v>161</v>
      </c>
      <c r="E62" s="9" t="s">
        <v>23</v>
      </c>
      <c r="F62" s="9" t="s">
        <v>163</v>
      </c>
      <c r="G62" s="9" t="s">
        <v>18</v>
      </c>
      <c r="H62" s="9"/>
      <c r="I62" s="9">
        <v>122</v>
      </c>
      <c r="J62" s="9">
        <v>120</v>
      </c>
      <c r="K62" s="9">
        <v>120</v>
      </c>
      <c r="L62" s="9">
        <v>130</v>
      </c>
      <c r="M62" s="9">
        <f t="shared" si="2"/>
        <v>120</v>
      </c>
      <c r="N62" s="10">
        <f t="shared" si="3"/>
        <v>130</v>
      </c>
    </row>
    <row r="63" spans="1:14" ht="12.75">
      <c r="A63" s="13">
        <f>57</f>
        <v>57</v>
      </c>
      <c r="B63" s="9">
        <v>91</v>
      </c>
      <c r="C63" s="9" t="s">
        <v>181</v>
      </c>
      <c r="D63" s="9" t="s">
        <v>182</v>
      </c>
      <c r="E63" s="9" t="s">
        <v>67</v>
      </c>
      <c r="F63" s="9" t="s">
        <v>134</v>
      </c>
      <c r="G63" s="9" t="s">
        <v>18</v>
      </c>
      <c r="H63" s="9"/>
      <c r="I63" s="9">
        <v>1</v>
      </c>
      <c r="J63" s="9">
        <v>1</v>
      </c>
      <c r="K63" s="9">
        <v>130</v>
      </c>
      <c r="L63" s="9">
        <v>117</v>
      </c>
      <c r="M63" s="9">
        <f t="shared" si="2"/>
        <v>117</v>
      </c>
      <c r="N63" s="10">
        <f t="shared" si="3"/>
        <v>130</v>
      </c>
    </row>
    <row r="64" spans="1:14" ht="12.75">
      <c r="A64" s="13">
        <f>58</f>
        <v>58</v>
      </c>
      <c r="B64" s="9">
        <v>87</v>
      </c>
      <c r="C64" s="9" t="s">
        <v>183</v>
      </c>
      <c r="D64" s="9" t="s">
        <v>184</v>
      </c>
      <c r="E64" s="9" t="s">
        <v>67</v>
      </c>
      <c r="F64" s="9"/>
      <c r="G64" s="9" t="s">
        <v>18</v>
      </c>
      <c r="H64" s="9"/>
      <c r="I64" s="9">
        <v>117</v>
      </c>
      <c r="J64" s="9">
        <v>130</v>
      </c>
      <c r="K64" s="9">
        <v>130</v>
      </c>
      <c r="L64" s="9">
        <v>99</v>
      </c>
      <c r="M64" s="9">
        <f t="shared" si="2"/>
        <v>99</v>
      </c>
      <c r="N64" s="10">
        <f t="shared" si="3"/>
        <v>130</v>
      </c>
    </row>
    <row r="65" spans="1:14" ht="12.75">
      <c r="A65" s="13">
        <f>58</f>
        <v>58</v>
      </c>
      <c r="B65" s="9">
        <v>101</v>
      </c>
      <c r="C65" s="9" t="s">
        <v>185</v>
      </c>
      <c r="D65" s="9" t="s">
        <v>69</v>
      </c>
      <c r="E65" s="9" t="s">
        <v>186</v>
      </c>
      <c r="F65" s="9" t="s">
        <v>187</v>
      </c>
      <c r="G65" s="9" t="s">
        <v>18</v>
      </c>
      <c r="H65" s="9"/>
      <c r="I65" s="9">
        <v>117</v>
      </c>
      <c r="J65" s="9">
        <v>140</v>
      </c>
      <c r="K65" s="9">
        <v>130</v>
      </c>
      <c r="L65" s="9">
        <v>99</v>
      </c>
      <c r="M65" s="9">
        <f t="shared" si="2"/>
        <v>99</v>
      </c>
      <c r="N65" s="10">
        <f t="shared" si="3"/>
        <v>130</v>
      </c>
    </row>
    <row r="66" spans="1:14" ht="12.75">
      <c r="A66" s="13">
        <f>60</f>
        <v>60</v>
      </c>
      <c r="B66" s="9">
        <v>89</v>
      </c>
      <c r="C66" s="9" t="s">
        <v>188</v>
      </c>
      <c r="D66" s="9" t="s">
        <v>95</v>
      </c>
      <c r="E66" s="9" t="s">
        <v>23</v>
      </c>
      <c r="F66" s="9"/>
      <c r="G66" s="9" t="s">
        <v>18</v>
      </c>
      <c r="H66" s="9"/>
      <c r="I66" s="9">
        <v>99</v>
      </c>
      <c r="J66" s="9">
        <v>111</v>
      </c>
      <c r="K66" s="9">
        <v>130</v>
      </c>
      <c r="L66" s="9">
        <v>81</v>
      </c>
      <c r="M66" s="9">
        <f t="shared" si="2"/>
        <v>81</v>
      </c>
      <c r="N66" s="10">
        <f t="shared" si="3"/>
        <v>130</v>
      </c>
    </row>
    <row r="67" spans="1:14" ht="12.75">
      <c r="A67" s="13">
        <f>61</f>
        <v>61</v>
      </c>
      <c r="B67" s="9">
        <v>200</v>
      </c>
      <c r="C67" s="9" t="s">
        <v>189</v>
      </c>
      <c r="D67" s="9" t="s">
        <v>169</v>
      </c>
      <c r="E67" s="9" t="s">
        <v>186</v>
      </c>
      <c r="F67" s="9"/>
      <c r="G67" s="9" t="s">
        <v>18</v>
      </c>
      <c r="H67" s="9"/>
      <c r="I67" s="9">
        <v>1</v>
      </c>
      <c r="J67" s="9">
        <v>1</v>
      </c>
      <c r="K67" s="9">
        <v>129</v>
      </c>
      <c r="L67" s="9">
        <v>127</v>
      </c>
      <c r="M67" s="9">
        <f t="shared" si="2"/>
        <v>127</v>
      </c>
      <c r="N67" s="10">
        <f t="shared" si="3"/>
        <v>129</v>
      </c>
    </row>
    <row r="68" spans="1:14" ht="12.75">
      <c r="A68" s="13">
        <f>62</f>
        <v>62</v>
      </c>
      <c r="B68" s="9">
        <v>108</v>
      </c>
      <c r="C68" s="9" t="s">
        <v>190</v>
      </c>
      <c r="D68" s="9" t="s">
        <v>191</v>
      </c>
      <c r="E68" s="9" t="s">
        <v>16</v>
      </c>
      <c r="F68" s="9" t="s">
        <v>192</v>
      </c>
      <c r="G68" s="9" t="s">
        <v>18</v>
      </c>
      <c r="H68" s="9"/>
      <c r="I68" s="9">
        <v>141</v>
      </c>
      <c r="J68" s="9">
        <v>160</v>
      </c>
      <c r="K68" s="9">
        <v>129</v>
      </c>
      <c r="L68" s="9">
        <v>126</v>
      </c>
      <c r="M68" s="9">
        <f t="shared" si="2"/>
        <v>126</v>
      </c>
      <c r="N68" s="10">
        <f t="shared" si="3"/>
        <v>129</v>
      </c>
    </row>
    <row r="69" spans="1:14" ht="12.75">
      <c r="A69" s="13">
        <f>63</f>
        <v>63</v>
      </c>
      <c r="B69" s="9">
        <v>70</v>
      </c>
      <c r="C69" s="9" t="s">
        <v>193</v>
      </c>
      <c r="D69" s="9" t="s">
        <v>194</v>
      </c>
      <c r="E69" s="9" t="s">
        <v>195</v>
      </c>
      <c r="F69" s="9" t="s">
        <v>196</v>
      </c>
      <c r="G69" s="9" t="s">
        <v>18</v>
      </c>
      <c r="H69" s="9"/>
      <c r="I69" s="9">
        <v>123</v>
      </c>
      <c r="J69" s="9">
        <v>130</v>
      </c>
      <c r="K69" s="9">
        <v>108</v>
      </c>
      <c r="L69" s="9">
        <v>129</v>
      </c>
      <c r="M69" s="9">
        <f t="shared" si="2"/>
        <v>108</v>
      </c>
      <c r="N69" s="10">
        <f t="shared" si="3"/>
        <v>129</v>
      </c>
    </row>
    <row r="70" spans="1:14" ht="12.75">
      <c r="A70" s="13">
        <f>64</f>
        <v>64</v>
      </c>
      <c r="B70" s="9">
        <v>76</v>
      </c>
      <c r="C70" s="9" t="s">
        <v>197</v>
      </c>
      <c r="D70" s="9" t="s">
        <v>198</v>
      </c>
      <c r="E70" s="9" t="s">
        <v>199</v>
      </c>
      <c r="F70" s="9" t="s">
        <v>200</v>
      </c>
      <c r="G70" s="9" t="s">
        <v>18</v>
      </c>
      <c r="H70" s="9"/>
      <c r="I70" s="9"/>
      <c r="J70" s="9">
        <v>129</v>
      </c>
      <c r="K70" s="9">
        <v>129</v>
      </c>
      <c r="L70" s="9">
        <v>100</v>
      </c>
      <c r="M70" s="9">
        <f t="shared" si="2"/>
        <v>100</v>
      </c>
      <c r="N70" s="10">
        <f t="shared" si="3"/>
        <v>129</v>
      </c>
    </row>
    <row r="71" spans="1:14" ht="12.75">
      <c r="A71" s="13">
        <f>65</f>
        <v>65</v>
      </c>
      <c r="B71" s="9">
        <v>198</v>
      </c>
      <c r="C71" s="9" t="s">
        <v>201</v>
      </c>
      <c r="D71" s="9" t="s">
        <v>128</v>
      </c>
      <c r="E71" s="9" t="s">
        <v>123</v>
      </c>
      <c r="F71" s="9" t="s">
        <v>58</v>
      </c>
      <c r="G71" s="9" t="s">
        <v>18</v>
      </c>
      <c r="H71" s="9"/>
      <c r="I71" s="9">
        <v>103</v>
      </c>
      <c r="J71" s="9">
        <v>84</v>
      </c>
      <c r="K71" s="9">
        <v>119</v>
      </c>
      <c r="L71" s="9">
        <v>128</v>
      </c>
      <c r="M71" s="9">
        <f aca="true" t="shared" si="4" ref="M71:M102">MIN(K71:L71)</f>
        <v>119</v>
      </c>
      <c r="N71" s="10">
        <f aca="true" t="shared" si="5" ref="N71:N102">MAX(K71:L71)</f>
        <v>128</v>
      </c>
    </row>
    <row r="72" spans="1:14" ht="12.75">
      <c r="A72" s="13">
        <f>66</f>
        <v>66</v>
      </c>
      <c r="B72" s="9">
        <v>122</v>
      </c>
      <c r="C72" s="9" t="s">
        <v>202</v>
      </c>
      <c r="D72" s="9" t="s">
        <v>102</v>
      </c>
      <c r="E72" s="9" t="s">
        <v>203</v>
      </c>
      <c r="F72" s="9" t="s">
        <v>150</v>
      </c>
      <c r="G72" s="9" t="s">
        <v>18</v>
      </c>
      <c r="H72" s="9"/>
      <c r="I72" s="9">
        <v>105</v>
      </c>
      <c r="J72" s="9">
        <v>138</v>
      </c>
      <c r="K72" s="9">
        <v>122</v>
      </c>
      <c r="L72" s="9">
        <v>127</v>
      </c>
      <c r="M72" s="9">
        <f t="shared" si="4"/>
        <v>122</v>
      </c>
      <c r="N72" s="10">
        <f t="shared" si="5"/>
        <v>127</v>
      </c>
    </row>
    <row r="73" spans="1:14" ht="12.75">
      <c r="A73" s="13">
        <f>67</f>
        <v>67</v>
      </c>
      <c r="B73" s="9">
        <v>109</v>
      </c>
      <c r="C73" s="9" t="s">
        <v>204</v>
      </c>
      <c r="D73" s="9" t="s">
        <v>205</v>
      </c>
      <c r="E73" s="9" t="s">
        <v>89</v>
      </c>
      <c r="F73" s="9" t="s">
        <v>206</v>
      </c>
      <c r="G73" s="9" t="s">
        <v>18</v>
      </c>
      <c r="H73" s="9"/>
      <c r="I73" s="9">
        <v>95</v>
      </c>
      <c r="J73" s="9">
        <v>136</v>
      </c>
      <c r="K73" s="9">
        <v>127</v>
      </c>
      <c r="L73" s="9">
        <v>103</v>
      </c>
      <c r="M73" s="9">
        <f t="shared" si="4"/>
        <v>103</v>
      </c>
      <c r="N73" s="10">
        <f t="shared" si="5"/>
        <v>127</v>
      </c>
    </row>
    <row r="74" spans="1:14" ht="12.75">
      <c r="A74" s="13">
        <f>68</f>
        <v>68</v>
      </c>
      <c r="B74" s="9">
        <v>129</v>
      </c>
      <c r="C74" s="9" t="s">
        <v>207</v>
      </c>
      <c r="D74" s="9" t="s">
        <v>208</v>
      </c>
      <c r="E74" s="9" t="s">
        <v>209</v>
      </c>
      <c r="F74" s="9" t="s">
        <v>210</v>
      </c>
      <c r="G74" s="9" t="s">
        <v>18</v>
      </c>
      <c r="H74" s="9"/>
      <c r="I74" s="9">
        <v>55</v>
      </c>
      <c r="J74" s="9">
        <v>114</v>
      </c>
      <c r="K74" s="9">
        <v>92</v>
      </c>
      <c r="L74" s="9">
        <v>127</v>
      </c>
      <c r="M74" s="9">
        <f t="shared" si="4"/>
        <v>92</v>
      </c>
      <c r="N74" s="10">
        <f t="shared" si="5"/>
        <v>127</v>
      </c>
    </row>
    <row r="75" spans="1:14" ht="12.75">
      <c r="A75" s="13">
        <f>69</f>
        <v>69</v>
      </c>
      <c r="B75" s="9">
        <v>82</v>
      </c>
      <c r="C75" s="9" t="s">
        <v>211</v>
      </c>
      <c r="D75" s="9" t="s">
        <v>212</v>
      </c>
      <c r="E75" s="9" t="s">
        <v>213</v>
      </c>
      <c r="F75" s="9" t="s">
        <v>214</v>
      </c>
      <c r="G75" s="9" t="s">
        <v>18</v>
      </c>
      <c r="H75" s="9"/>
      <c r="I75" s="9"/>
      <c r="J75" s="9"/>
      <c r="K75" s="9">
        <v>110</v>
      </c>
      <c r="L75" s="9">
        <v>126</v>
      </c>
      <c r="M75" s="9">
        <f t="shared" si="4"/>
        <v>110</v>
      </c>
      <c r="N75" s="10">
        <f t="shared" si="5"/>
        <v>126</v>
      </c>
    </row>
    <row r="76" spans="1:14" ht="12.75">
      <c r="A76" s="13">
        <f>70</f>
        <v>70</v>
      </c>
      <c r="B76" s="9">
        <v>73</v>
      </c>
      <c r="C76" s="9" t="s">
        <v>215</v>
      </c>
      <c r="D76" s="9" t="s">
        <v>169</v>
      </c>
      <c r="E76" s="9" t="s">
        <v>216</v>
      </c>
      <c r="F76" s="9" t="s">
        <v>217</v>
      </c>
      <c r="G76" s="9" t="s">
        <v>18</v>
      </c>
      <c r="H76" s="9"/>
      <c r="I76" s="9">
        <v>108</v>
      </c>
      <c r="J76" s="9">
        <v>84</v>
      </c>
      <c r="K76" s="9">
        <v>126</v>
      </c>
      <c r="L76" s="9">
        <v>85</v>
      </c>
      <c r="M76" s="9">
        <f t="shared" si="4"/>
        <v>85</v>
      </c>
      <c r="N76" s="10">
        <f t="shared" si="5"/>
        <v>126</v>
      </c>
    </row>
    <row r="77" spans="1:14" ht="12.75">
      <c r="A77" s="13">
        <f>71</f>
        <v>71</v>
      </c>
      <c r="B77" s="9">
        <v>52</v>
      </c>
      <c r="C77" s="9" t="s">
        <v>218</v>
      </c>
      <c r="D77" s="9" t="s">
        <v>219</v>
      </c>
      <c r="E77" s="9" t="s">
        <v>220</v>
      </c>
      <c r="F77" s="9" t="s">
        <v>221</v>
      </c>
      <c r="G77" s="9" t="s">
        <v>18</v>
      </c>
      <c r="H77" s="9"/>
      <c r="I77" s="9">
        <v>1</v>
      </c>
      <c r="J77" s="9">
        <v>1</v>
      </c>
      <c r="K77" s="9">
        <v>125</v>
      </c>
      <c r="L77" s="9">
        <v>125</v>
      </c>
      <c r="M77" s="9">
        <f t="shared" si="4"/>
        <v>125</v>
      </c>
      <c r="N77" s="10">
        <f t="shared" si="5"/>
        <v>125</v>
      </c>
    </row>
    <row r="78" spans="1:14" ht="12.75">
      <c r="A78" s="13">
        <f>72</f>
        <v>72</v>
      </c>
      <c r="B78" s="9">
        <v>170</v>
      </c>
      <c r="C78" s="9" t="s">
        <v>222</v>
      </c>
      <c r="D78" s="9" t="s">
        <v>73</v>
      </c>
      <c r="E78" s="9" t="s">
        <v>129</v>
      </c>
      <c r="F78" s="9" t="s">
        <v>58</v>
      </c>
      <c r="G78" s="9" t="s">
        <v>18</v>
      </c>
      <c r="H78" s="9"/>
      <c r="I78" s="9">
        <v>94</v>
      </c>
      <c r="J78" s="9">
        <v>123</v>
      </c>
      <c r="K78" s="9">
        <v>125</v>
      </c>
      <c r="L78" s="9">
        <v>100</v>
      </c>
      <c r="M78" s="9">
        <f t="shared" si="4"/>
        <v>100</v>
      </c>
      <c r="N78" s="10">
        <f t="shared" si="5"/>
        <v>125</v>
      </c>
    </row>
    <row r="79" spans="1:14" ht="12.75">
      <c r="A79" s="13">
        <f>73</f>
        <v>73</v>
      </c>
      <c r="B79" s="9">
        <v>183</v>
      </c>
      <c r="C79" s="9" t="s">
        <v>223</v>
      </c>
      <c r="D79" s="9" t="s">
        <v>224</v>
      </c>
      <c r="E79" s="9" t="s">
        <v>225</v>
      </c>
      <c r="F79" s="9" t="s">
        <v>226</v>
      </c>
      <c r="G79" s="9" t="s">
        <v>18</v>
      </c>
      <c r="H79" s="9"/>
      <c r="I79" s="9">
        <v>86</v>
      </c>
      <c r="J79" s="9"/>
      <c r="K79" s="9">
        <v>125</v>
      </c>
      <c r="L79" s="9">
        <v>92</v>
      </c>
      <c r="M79" s="9">
        <f t="shared" si="4"/>
        <v>92</v>
      </c>
      <c r="N79" s="10">
        <f t="shared" si="5"/>
        <v>125</v>
      </c>
    </row>
    <row r="80" spans="1:14" ht="12.75">
      <c r="A80" s="13">
        <f>74</f>
        <v>74</v>
      </c>
      <c r="B80" s="9">
        <v>178</v>
      </c>
      <c r="C80" s="9" t="s">
        <v>227</v>
      </c>
      <c r="D80" s="9" t="s">
        <v>228</v>
      </c>
      <c r="E80" s="9" t="s">
        <v>229</v>
      </c>
      <c r="F80" s="9"/>
      <c r="G80" s="9" t="s">
        <v>18</v>
      </c>
      <c r="H80" s="9"/>
      <c r="I80" s="9">
        <v>108</v>
      </c>
      <c r="J80" s="9">
        <v>102</v>
      </c>
      <c r="K80" s="9">
        <v>124</v>
      </c>
      <c r="L80" s="9">
        <v>122</v>
      </c>
      <c r="M80" s="9">
        <f t="shared" si="4"/>
        <v>122</v>
      </c>
      <c r="N80" s="10">
        <f t="shared" si="5"/>
        <v>124</v>
      </c>
    </row>
    <row r="81" spans="1:14" ht="12.75">
      <c r="A81" s="13">
        <f>75</f>
        <v>75</v>
      </c>
      <c r="B81" s="9">
        <v>98</v>
      </c>
      <c r="C81" s="9" t="s">
        <v>230</v>
      </c>
      <c r="D81" s="9" t="s">
        <v>231</v>
      </c>
      <c r="E81" s="9" t="s">
        <v>89</v>
      </c>
      <c r="F81" s="9" t="s">
        <v>206</v>
      </c>
      <c r="G81" s="9" t="s">
        <v>18</v>
      </c>
      <c r="H81" s="9"/>
      <c r="I81" s="9">
        <v>127</v>
      </c>
      <c r="J81" s="9">
        <v>90</v>
      </c>
      <c r="K81" s="9">
        <v>124</v>
      </c>
      <c r="L81" s="9">
        <v>119</v>
      </c>
      <c r="M81" s="9">
        <f t="shared" si="4"/>
        <v>119</v>
      </c>
      <c r="N81" s="10">
        <f t="shared" si="5"/>
        <v>124</v>
      </c>
    </row>
    <row r="82" spans="1:14" ht="12.75">
      <c r="A82" s="13">
        <f>76</f>
        <v>76</v>
      </c>
      <c r="B82" s="9">
        <v>145</v>
      </c>
      <c r="C82" s="9" t="s">
        <v>232</v>
      </c>
      <c r="D82" s="9" t="s">
        <v>233</v>
      </c>
      <c r="E82" s="9" t="s">
        <v>234</v>
      </c>
      <c r="F82" s="9"/>
      <c r="G82" s="9" t="s">
        <v>18</v>
      </c>
      <c r="H82" s="9"/>
      <c r="I82" s="9">
        <v>116</v>
      </c>
      <c r="J82" s="9">
        <v>125</v>
      </c>
      <c r="K82" s="9">
        <v>123</v>
      </c>
      <c r="L82" s="9">
        <v>121</v>
      </c>
      <c r="M82" s="9">
        <f t="shared" si="4"/>
        <v>121</v>
      </c>
      <c r="N82" s="10">
        <f t="shared" si="5"/>
        <v>123</v>
      </c>
    </row>
    <row r="83" spans="1:14" ht="12.75">
      <c r="A83" s="13">
        <f>77</f>
        <v>77</v>
      </c>
      <c r="B83" s="9">
        <v>230</v>
      </c>
      <c r="C83" s="9" t="s">
        <v>235</v>
      </c>
      <c r="D83" s="9" t="s">
        <v>236</v>
      </c>
      <c r="E83" s="9" t="s">
        <v>16</v>
      </c>
      <c r="F83" s="9" t="s">
        <v>237</v>
      </c>
      <c r="G83" s="9" t="s">
        <v>18</v>
      </c>
      <c r="H83" s="9"/>
      <c r="I83" s="9">
        <v>129</v>
      </c>
      <c r="J83" s="9">
        <v>116</v>
      </c>
      <c r="K83" s="9">
        <v>123</v>
      </c>
      <c r="L83" s="9">
        <v>116</v>
      </c>
      <c r="M83" s="9">
        <f t="shared" si="4"/>
        <v>116</v>
      </c>
      <c r="N83" s="10">
        <f t="shared" si="5"/>
        <v>123</v>
      </c>
    </row>
    <row r="84" spans="1:14" ht="12.75">
      <c r="A84" s="13">
        <f>78</f>
        <v>78</v>
      </c>
      <c r="B84" s="9">
        <v>85</v>
      </c>
      <c r="C84" s="9" t="s">
        <v>238</v>
      </c>
      <c r="D84" s="9" t="s">
        <v>239</v>
      </c>
      <c r="E84" s="9" t="s">
        <v>240</v>
      </c>
      <c r="F84" s="9" t="s">
        <v>241</v>
      </c>
      <c r="G84" s="9" t="s">
        <v>18</v>
      </c>
      <c r="H84" s="9"/>
      <c r="I84" s="9">
        <v>95</v>
      </c>
      <c r="J84" s="9">
        <v>98</v>
      </c>
      <c r="K84" s="9">
        <v>114</v>
      </c>
      <c r="L84" s="9">
        <v>123</v>
      </c>
      <c r="M84" s="9">
        <f t="shared" si="4"/>
        <v>114</v>
      </c>
      <c r="N84" s="10">
        <f t="shared" si="5"/>
        <v>123</v>
      </c>
    </row>
    <row r="85" spans="1:14" ht="12.75">
      <c r="A85" s="13">
        <f>79</f>
        <v>79</v>
      </c>
      <c r="B85" s="9">
        <v>153</v>
      </c>
      <c r="C85" s="9" t="s">
        <v>242</v>
      </c>
      <c r="D85" s="9" t="s">
        <v>243</v>
      </c>
      <c r="E85" s="9" t="s">
        <v>244</v>
      </c>
      <c r="F85" s="9"/>
      <c r="G85" s="9" t="s">
        <v>18</v>
      </c>
      <c r="H85" s="9"/>
      <c r="I85" s="9">
        <v>106</v>
      </c>
      <c r="J85" s="9">
        <v>120</v>
      </c>
      <c r="K85" s="9">
        <v>123</v>
      </c>
      <c r="L85" s="9">
        <v>97</v>
      </c>
      <c r="M85" s="9">
        <f t="shared" si="4"/>
        <v>97</v>
      </c>
      <c r="N85" s="10">
        <f t="shared" si="5"/>
        <v>123</v>
      </c>
    </row>
    <row r="86" spans="1:14" ht="12.75">
      <c r="A86" s="13">
        <f>80</f>
        <v>80</v>
      </c>
      <c r="B86" s="9">
        <v>69</v>
      </c>
      <c r="C86" s="9" t="s">
        <v>245</v>
      </c>
      <c r="D86" s="9" t="s">
        <v>246</v>
      </c>
      <c r="E86" s="9" t="s">
        <v>123</v>
      </c>
      <c r="F86" s="9" t="s">
        <v>247</v>
      </c>
      <c r="G86" s="9" t="s">
        <v>18</v>
      </c>
      <c r="H86" s="9"/>
      <c r="I86" s="9">
        <v>120</v>
      </c>
      <c r="J86" s="9">
        <v>123</v>
      </c>
      <c r="K86" s="9">
        <v>122</v>
      </c>
      <c r="L86" s="9">
        <v>107</v>
      </c>
      <c r="M86" s="9">
        <f t="shared" si="4"/>
        <v>107</v>
      </c>
      <c r="N86" s="10">
        <f t="shared" si="5"/>
        <v>122</v>
      </c>
    </row>
    <row r="87" spans="1:14" ht="12.75">
      <c r="A87" s="13">
        <f>81</f>
        <v>81</v>
      </c>
      <c r="B87" s="9">
        <v>66</v>
      </c>
      <c r="C87" s="9" t="s">
        <v>248</v>
      </c>
      <c r="D87" s="9" t="s">
        <v>249</v>
      </c>
      <c r="E87" s="9" t="s">
        <v>40</v>
      </c>
      <c r="F87" s="9" t="s">
        <v>247</v>
      </c>
      <c r="G87" s="9" t="s">
        <v>18</v>
      </c>
      <c r="H87" s="9"/>
      <c r="I87" s="9">
        <v>78</v>
      </c>
      <c r="J87" s="9">
        <v>108</v>
      </c>
      <c r="K87" s="9">
        <v>119</v>
      </c>
      <c r="L87" s="9">
        <v>121</v>
      </c>
      <c r="M87" s="9">
        <f t="shared" si="4"/>
        <v>119</v>
      </c>
      <c r="N87" s="10">
        <f t="shared" si="5"/>
        <v>121</v>
      </c>
    </row>
    <row r="88" spans="1:14" ht="12.75">
      <c r="A88" s="13">
        <f>82</f>
        <v>82</v>
      </c>
      <c r="B88" s="9">
        <v>105</v>
      </c>
      <c r="C88" s="9" t="s">
        <v>250</v>
      </c>
      <c r="D88" s="9" t="s">
        <v>198</v>
      </c>
      <c r="E88" s="9" t="s">
        <v>70</v>
      </c>
      <c r="F88" s="9" t="s">
        <v>200</v>
      </c>
      <c r="G88" s="9" t="s">
        <v>18</v>
      </c>
      <c r="H88" s="9"/>
      <c r="I88" s="9">
        <v>116</v>
      </c>
      <c r="J88" s="9">
        <v>101</v>
      </c>
      <c r="K88" s="9">
        <v>120</v>
      </c>
      <c r="L88" s="9">
        <v>109</v>
      </c>
      <c r="M88" s="9">
        <f t="shared" si="4"/>
        <v>109</v>
      </c>
      <c r="N88" s="10">
        <f t="shared" si="5"/>
        <v>120</v>
      </c>
    </row>
    <row r="89" spans="1:14" ht="12.75">
      <c r="A89" s="13">
        <f>83</f>
        <v>83</v>
      </c>
      <c r="B89" s="9">
        <v>162</v>
      </c>
      <c r="C89" s="9" t="s">
        <v>251</v>
      </c>
      <c r="D89" s="9" t="s">
        <v>252</v>
      </c>
      <c r="E89" s="9" t="s">
        <v>253</v>
      </c>
      <c r="F89" s="9" t="s">
        <v>254</v>
      </c>
      <c r="G89" s="9" t="s">
        <v>18</v>
      </c>
      <c r="H89" s="9"/>
      <c r="I89" s="9"/>
      <c r="J89" s="9"/>
      <c r="K89" s="9">
        <v>120</v>
      </c>
      <c r="L89" s="9">
        <v>101</v>
      </c>
      <c r="M89" s="9">
        <f t="shared" si="4"/>
        <v>101</v>
      </c>
      <c r="N89" s="10">
        <f t="shared" si="5"/>
        <v>120</v>
      </c>
    </row>
    <row r="90" spans="1:14" ht="12.75">
      <c r="A90" s="13">
        <f>84</f>
        <v>84</v>
      </c>
      <c r="B90" s="9">
        <v>146</v>
      </c>
      <c r="C90" s="9" t="s">
        <v>255</v>
      </c>
      <c r="D90" s="9" t="s">
        <v>256</v>
      </c>
      <c r="E90" s="9" t="s">
        <v>257</v>
      </c>
      <c r="F90" s="9" t="s">
        <v>258</v>
      </c>
      <c r="G90" s="9" t="s">
        <v>18</v>
      </c>
      <c r="H90" s="9"/>
      <c r="I90" s="9">
        <v>79</v>
      </c>
      <c r="J90" s="9">
        <v>75</v>
      </c>
      <c r="K90" s="9">
        <v>120</v>
      </c>
      <c r="L90" s="9">
        <v>55</v>
      </c>
      <c r="M90" s="9">
        <f t="shared" si="4"/>
        <v>55</v>
      </c>
      <c r="N90" s="10">
        <f t="shared" si="5"/>
        <v>120</v>
      </c>
    </row>
    <row r="91" spans="1:14" ht="12.75">
      <c r="A91" s="13">
        <f>85</f>
        <v>85</v>
      </c>
      <c r="B91" s="9">
        <v>116</v>
      </c>
      <c r="C91" s="9" t="s">
        <v>259</v>
      </c>
      <c r="D91" s="9" t="s">
        <v>260</v>
      </c>
      <c r="E91" s="9" t="s">
        <v>261</v>
      </c>
      <c r="F91" s="9" t="s">
        <v>262</v>
      </c>
      <c r="G91" s="9" t="s">
        <v>18</v>
      </c>
      <c r="H91" s="9"/>
      <c r="I91" s="9">
        <v>92</v>
      </c>
      <c r="J91" s="9">
        <v>121</v>
      </c>
      <c r="K91" s="9">
        <v>114</v>
      </c>
      <c r="L91" s="9">
        <v>119</v>
      </c>
      <c r="M91" s="9">
        <f t="shared" si="4"/>
        <v>114</v>
      </c>
      <c r="N91" s="10">
        <f t="shared" si="5"/>
        <v>119</v>
      </c>
    </row>
    <row r="92" spans="1:14" ht="12.75">
      <c r="A92" s="13">
        <f>86</f>
        <v>86</v>
      </c>
      <c r="B92" s="9">
        <v>103</v>
      </c>
      <c r="C92" s="9" t="s">
        <v>263</v>
      </c>
      <c r="D92" s="9" t="s">
        <v>208</v>
      </c>
      <c r="E92" s="9" t="s">
        <v>26</v>
      </c>
      <c r="F92" s="9" t="s">
        <v>206</v>
      </c>
      <c r="G92" s="9" t="s">
        <v>18</v>
      </c>
      <c r="H92" s="9"/>
      <c r="I92" s="9">
        <v>94</v>
      </c>
      <c r="J92" s="9">
        <v>92</v>
      </c>
      <c r="K92" s="9">
        <v>101</v>
      </c>
      <c r="L92" s="9">
        <v>119</v>
      </c>
      <c r="M92" s="9">
        <f t="shared" si="4"/>
        <v>101</v>
      </c>
      <c r="N92" s="10">
        <f t="shared" si="5"/>
        <v>119</v>
      </c>
    </row>
    <row r="93" spans="1:14" ht="12.75">
      <c r="A93" s="13">
        <f>87</f>
        <v>87</v>
      </c>
      <c r="B93" s="9">
        <v>139</v>
      </c>
      <c r="C93" s="9" t="s">
        <v>264</v>
      </c>
      <c r="D93" s="9" t="s">
        <v>184</v>
      </c>
      <c r="E93" s="9" t="s">
        <v>148</v>
      </c>
      <c r="F93" s="9" t="s">
        <v>265</v>
      </c>
      <c r="G93" s="9" t="s">
        <v>18</v>
      </c>
      <c r="H93" s="9"/>
      <c r="I93" s="9">
        <v>129</v>
      </c>
      <c r="J93" s="9">
        <v>98</v>
      </c>
      <c r="K93" s="9">
        <v>114</v>
      </c>
      <c r="L93" s="9">
        <v>118</v>
      </c>
      <c r="M93" s="9">
        <f t="shared" si="4"/>
        <v>114</v>
      </c>
      <c r="N93" s="10">
        <f t="shared" si="5"/>
        <v>118</v>
      </c>
    </row>
    <row r="94" spans="1:14" ht="12.75">
      <c r="A94" s="13">
        <f>88</f>
        <v>88</v>
      </c>
      <c r="B94" s="9">
        <v>63</v>
      </c>
      <c r="C94" s="9" t="s">
        <v>266</v>
      </c>
      <c r="D94" s="9" t="s">
        <v>147</v>
      </c>
      <c r="E94" s="9" t="s">
        <v>40</v>
      </c>
      <c r="F94" s="9"/>
      <c r="G94" s="9" t="s">
        <v>18</v>
      </c>
      <c r="H94" s="9"/>
      <c r="I94" s="9">
        <v>122</v>
      </c>
      <c r="J94" s="9">
        <v>85</v>
      </c>
      <c r="K94" s="9">
        <v>118</v>
      </c>
      <c r="L94" s="9">
        <v>105</v>
      </c>
      <c r="M94" s="9">
        <f t="shared" si="4"/>
        <v>105</v>
      </c>
      <c r="N94" s="10">
        <f t="shared" si="5"/>
        <v>118</v>
      </c>
    </row>
    <row r="95" spans="1:14" ht="12.75">
      <c r="A95" s="13">
        <f>89</f>
        <v>89</v>
      </c>
      <c r="B95" s="9">
        <v>99</v>
      </c>
      <c r="C95" s="9" t="s">
        <v>267</v>
      </c>
      <c r="D95" s="9" t="s">
        <v>268</v>
      </c>
      <c r="E95" s="9" t="s">
        <v>269</v>
      </c>
      <c r="F95" s="9" t="s">
        <v>270</v>
      </c>
      <c r="G95" s="9" t="s">
        <v>18</v>
      </c>
      <c r="H95" s="9"/>
      <c r="I95" s="9">
        <v>97</v>
      </c>
      <c r="J95" s="9">
        <v>108</v>
      </c>
      <c r="K95" s="9">
        <v>118</v>
      </c>
      <c r="L95" s="9">
        <v>103</v>
      </c>
      <c r="M95" s="9">
        <f t="shared" si="4"/>
        <v>103</v>
      </c>
      <c r="N95" s="10">
        <f t="shared" si="5"/>
        <v>118</v>
      </c>
    </row>
    <row r="96" spans="1:14" ht="12.75">
      <c r="A96" s="13">
        <f>90</f>
        <v>90</v>
      </c>
      <c r="B96" s="9">
        <v>173</v>
      </c>
      <c r="C96" s="9" t="s">
        <v>271</v>
      </c>
      <c r="D96" s="9" t="s">
        <v>243</v>
      </c>
      <c r="E96" s="9" t="s">
        <v>195</v>
      </c>
      <c r="F96" s="9" t="s">
        <v>226</v>
      </c>
      <c r="G96" s="9" t="s">
        <v>18</v>
      </c>
      <c r="H96" s="9"/>
      <c r="I96" s="9">
        <v>15</v>
      </c>
      <c r="J96" s="9">
        <v>123</v>
      </c>
      <c r="K96" s="9">
        <v>95</v>
      </c>
      <c r="L96" s="9">
        <v>118</v>
      </c>
      <c r="M96" s="9">
        <f t="shared" si="4"/>
        <v>95</v>
      </c>
      <c r="N96" s="10">
        <f t="shared" si="5"/>
        <v>118</v>
      </c>
    </row>
    <row r="97" spans="1:14" ht="12.75">
      <c r="A97" s="13">
        <f>91</f>
        <v>91</v>
      </c>
      <c r="B97" s="9">
        <v>163</v>
      </c>
      <c r="C97" s="9" t="s">
        <v>272</v>
      </c>
      <c r="D97" s="9" t="s">
        <v>69</v>
      </c>
      <c r="E97" s="9" t="s">
        <v>186</v>
      </c>
      <c r="F97" s="9" t="s">
        <v>187</v>
      </c>
      <c r="G97" s="9" t="s">
        <v>18</v>
      </c>
      <c r="H97" s="9"/>
      <c r="I97" s="9">
        <v>105</v>
      </c>
      <c r="J97" s="9">
        <v>69</v>
      </c>
      <c r="K97" s="9">
        <v>117</v>
      </c>
      <c r="L97" s="9">
        <v>97</v>
      </c>
      <c r="M97" s="9">
        <f t="shared" si="4"/>
        <v>97</v>
      </c>
      <c r="N97" s="10">
        <f t="shared" si="5"/>
        <v>117</v>
      </c>
    </row>
    <row r="98" spans="1:14" ht="12.75">
      <c r="A98" s="13">
        <f>92</f>
        <v>92</v>
      </c>
      <c r="B98" s="9">
        <v>72</v>
      </c>
      <c r="C98" s="9" t="s">
        <v>273</v>
      </c>
      <c r="D98" s="9" t="s">
        <v>274</v>
      </c>
      <c r="E98" s="9" t="s">
        <v>153</v>
      </c>
      <c r="F98" s="9" t="s">
        <v>275</v>
      </c>
      <c r="G98" s="9" t="s">
        <v>18</v>
      </c>
      <c r="H98" s="9"/>
      <c r="I98" s="9">
        <v>117</v>
      </c>
      <c r="J98" s="9">
        <v>107</v>
      </c>
      <c r="K98" s="9">
        <v>117</v>
      </c>
      <c r="L98" s="9">
        <v>96</v>
      </c>
      <c r="M98" s="9">
        <f t="shared" si="4"/>
        <v>96</v>
      </c>
      <c r="N98" s="10">
        <f t="shared" si="5"/>
        <v>117</v>
      </c>
    </row>
    <row r="99" spans="1:14" ht="12.75">
      <c r="A99" s="13">
        <f>93</f>
        <v>93</v>
      </c>
      <c r="B99" s="9">
        <v>147</v>
      </c>
      <c r="C99" s="9" t="s">
        <v>276</v>
      </c>
      <c r="D99" s="9" t="s">
        <v>277</v>
      </c>
      <c r="E99" s="9" t="s">
        <v>278</v>
      </c>
      <c r="F99" s="9" t="s">
        <v>210</v>
      </c>
      <c r="G99" s="9" t="s">
        <v>18</v>
      </c>
      <c r="H99" s="9"/>
      <c r="I99" s="9">
        <v>128</v>
      </c>
      <c r="J99" s="9">
        <v>115</v>
      </c>
      <c r="K99" s="9">
        <v>100</v>
      </c>
      <c r="L99" s="9">
        <v>116</v>
      </c>
      <c r="M99" s="9">
        <f t="shared" si="4"/>
        <v>100</v>
      </c>
      <c r="N99" s="10">
        <f t="shared" si="5"/>
        <v>116</v>
      </c>
    </row>
    <row r="100" spans="1:14" ht="12.75">
      <c r="A100" s="13">
        <f>94</f>
        <v>94</v>
      </c>
      <c r="B100" s="9">
        <v>161</v>
      </c>
      <c r="C100" s="9" t="s">
        <v>279</v>
      </c>
      <c r="D100" s="9" t="s">
        <v>73</v>
      </c>
      <c r="E100" s="9" t="s">
        <v>280</v>
      </c>
      <c r="F100" s="9" t="s">
        <v>58</v>
      </c>
      <c r="G100" s="9" t="s">
        <v>18</v>
      </c>
      <c r="H100" s="9"/>
      <c r="I100" s="9">
        <v>127</v>
      </c>
      <c r="J100" s="9">
        <v>85</v>
      </c>
      <c r="K100" s="9">
        <v>115</v>
      </c>
      <c r="L100" s="9">
        <v>89</v>
      </c>
      <c r="M100" s="9">
        <f t="shared" si="4"/>
        <v>89</v>
      </c>
      <c r="N100" s="10">
        <f t="shared" si="5"/>
        <v>115</v>
      </c>
    </row>
    <row r="101" spans="1:14" ht="12.75">
      <c r="A101" s="13">
        <f>95</f>
        <v>95</v>
      </c>
      <c r="B101" s="9">
        <v>151</v>
      </c>
      <c r="C101" s="9" t="s">
        <v>281</v>
      </c>
      <c r="D101" s="9" t="s">
        <v>179</v>
      </c>
      <c r="E101" s="9" t="s">
        <v>282</v>
      </c>
      <c r="F101" s="9" t="s">
        <v>283</v>
      </c>
      <c r="G101" s="9" t="s">
        <v>18</v>
      </c>
      <c r="H101" s="9"/>
      <c r="I101" s="9"/>
      <c r="J101" s="9">
        <v>82</v>
      </c>
      <c r="K101" s="9">
        <v>98</v>
      </c>
      <c r="L101" s="9">
        <v>114</v>
      </c>
      <c r="M101" s="9">
        <f t="shared" si="4"/>
        <v>98</v>
      </c>
      <c r="N101" s="10">
        <f t="shared" si="5"/>
        <v>114</v>
      </c>
    </row>
    <row r="102" spans="1:14" ht="12.75">
      <c r="A102" s="13">
        <f>96</f>
        <v>96</v>
      </c>
      <c r="B102" s="9">
        <v>203</v>
      </c>
      <c r="C102" s="9" t="s">
        <v>284</v>
      </c>
      <c r="D102" s="9" t="s">
        <v>102</v>
      </c>
      <c r="E102" s="9" t="s">
        <v>23</v>
      </c>
      <c r="F102" s="9" t="s">
        <v>104</v>
      </c>
      <c r="G102" s="9" t="s">
        <v>18</v>
      </c>
      <c r="H102" s="9"/>
      <c r="I102" s="9">
        <v>100</v>
      </c>
      <c r="J102" s="9">
        <v>82</v>
      </c>
      <c r="K102" s="9">
        <v>112</v>
      </c>
      <c r="L102" s="9">
        <v>113</v>
      </c>
      <c r="M102" s="9">
        <f t="shared" si="4"/>
        <v>112</v>
      </c>
      <c r="N102" s="10">
        <f t="shared" si="5"/>
        <v>113</v>
      </c>
    </row>
    <row r="103" spans="1:14" ht="12.75">
      <c r="A103" s="13">
        <f>97</f>
        <v>97</v>
      </c>
      <c r="B103" s="9">
        <v>54</v>
      </c>
      <c r="C103" s="9" t="s">
        <v>285</v>
      </c>
      <c r="D103" s="9" t="s">
        <v>286</v>
      </c>
      <c r="E103" s="9" t="s">
        <v>53</v>
      </c>
      <c r="F103" s="9" t="s">
        <v>287</v>
      </c>
      <c r="G103" s="9" t="s">
        <v>18</v>
      </c>
      <c r="H103" s="9"/>
      <c r="I103" s="9">
        <v>105</v>
      </c>
      <c r="J103" s="9">
        <v>103</v>
      </c>
      <c r="K103" s="9">
        <v>113</v>
      </c>
      <c r="L103" s="9">
        <v>92</v>
      </c>
      <c r="M103" s="9">
        <f aca="true" t="shared" si="6" ref="M103:M134">MIN(K103:L103)</f>
        <v>92</v>
      </c>
      <c r="N103" s="10">
        <f aca="true" t="shared" si="7" ref="N103:N134">MAX(K103:L103)</f>
        <v>113</v>
      </c>
    </row>
    <row r="104" spans="1:14" ht="12.75">
      <c r="A104" s="13">
        <f>98</f>
        <v>98</v>
      </c>
      <c r="B104" s="9">
        <v>79</v>
      </c>
      <c r="C104" s="9" t="s">
        <v>288</v>
      </c>
      <c r="D104" s="9" t="s">
        <v>179</v>
      </c>
      <c r="E104" s="9" t="s">
        <v>289</v>
      </c>
      <c r="F104" s="9" t="s">
        <v>283</v>
      </c>
      <c r="G104" s="9" t="s">
        <v>18</v>
      </c>
      <c r="H104" s="9"/>
      <c r="I104" s="9">
        <v>89</v>
      </c>
      <c r="J104" s="9">
        <v>85</v>
      </c>
      <c r="K104" s="9">
        <v>108</v>
      </c>
      <c r="L104" s="9">
        <v>112</v>
      </c>
      <c r="M104" s="9">
        <f t="shared" si="6"/>
        <v>108</v>
      </c>
      <c r="N104" s="10">
        <f t="shared" si="7"/>
        <v>112</v>
      </c>
    </row>
    <row r="105" spans="1:14" ht="12.75">
      <c r="A105" s="13">
        <f>98</f>
        <v>98</v>
      </c>
      <c r="B105" s="9">
        <v>194</v>
      </c>
      <c r="C105" s="9" t="s">
        <v>235</v>
      </c>
      <c r="D105" s="9" t="s">
        <v>236</v>
      </c>
      <c r="E105" s="9" t="s">
        <v>20</v>
      </c>
      <c r="F105" s="9" t="s">
        <v>290</v>
      </c>
      <c r="G105" s="9" t="s">
        <v>18</v>
      </c>
      <c r="H105" s="9"/>
      <c r="I105" s="9">
        <v>126</v>
      </c>
      <c r="J105" s="9">
        <v>115</v>
      </c>
      <c r="K105" s="9">
        <v>108</v>
      </c>
      <c r="L105" s="9">
        <v>112</v>
      </c>
      <c r="M105" s="9">
        <f t="shared" si="6"/>
        <v>108</v>
      </c>
      <c r="N105" s="10">
        <f t="shared" si="7"/>
        <v>112</v>
      </c>
    </row>
    <row r="106" spans="1:14" ht="12.75">
      <c r="A106" s="13">
        <f>100</f>
        <v>100</v>
      </c>
      <c r="B106" s="9">
        <v>96</v>
      </c>
      <c r="C106" s="9" t="s">
        <v>291</v>
      </c>
      <c r="D106" s="9" t="s">
        <v>292</v>
      </c>
      <c r="E106" s="9" t="s">
        <v>293</v>
      </c>
      <c r="F106" s="9" t="s">
        <v>294</v>
      </c>
      <c r="G106" s="9" t="s">
        <v>18</v>
      </c>
      <c r="H106" s="9"/>
      <c r="I106" s="9">
        <v>108</v>
      </c>
      <c r="J106" s="9">
        <v>94</v>
      </c>
      <c r="K106" s="9">
        <v>112</v>
      </c>
      <c r="L106" s="9">
        <v>87</v>
      </c>
      <c r="M106" s="9">
        <f t="shared" si="6"/>
        <v>87</v>
      </c>
      <c r="N106" s="10">
        <f t="shared" si="7"/>
        <v>112</v>
      </c>
    </row>
    <row r="107" spans="1:14" ht="12.75">
      <c r="A107" s="13">
        <f>101</f>
        <v>101</v>
      </c>
      <c r="B107" s="9">
        <v>179</v>
      </c>
      <c r="C107" s="9" t="s">
        <v>295</v>
      </c>
      <c r="D107" s="9" t="s">
        <v>296</v>
      </c>
      <c r="E107" s="9" t="s">
        <v>297</v>
      </c>
      <c r="F107" s="9" t="s">
        <v>298</v>
      </c>
      <c r="G107" s="9" t="s">
        <v>18</v>
      </c>
      <c r="H107" s="9"/>
      <c r="I107" s="9">
        <v>110</v>
      </c>
      <c r="J107" s="9">
        <v>101</v>
      </c>
      <c r="K107" s="9">
        <v>109</v>
      </c>
      <c r="L107" s="9">
        <v>110</v>
      </c>
      <c r="M107" s="9">
        <f t="shared" si="6"/>
        <v>109</v>
      </c>
      <c r="N107" s="10">
        <f t="shared" si="7"/>
        <v>110</v>
      </c>
    </row>
    <row r="108" spans="1:14" ht="12.75">
      <c r="A108" s="13">
        <f>102</f>
        <v>102</v>
      </c>
      <c r="B108" s="9">
        <v>113</v>
      </c>
      <c r="C108" s="9" t="s">
        <v>299</v>
      </c>
      <c r="D108" s="9" t="s">
        <v>300</v>
      </c>
      <c r="E108" s="9" t="s">
        <v>65</v>
      </c>
      <c r="F108" s="9"/>
      <c r="G108" s="9" t="s">
        <v>18</v>
      </c>
      <c r="H108" s="9"/>
      <c r="I108" s="9">
        <v>102</v>
      </c>
      <c r="J108" s="9">
        <v>80</v>
      </c>
      <c r="K108" s="9">
        <v>109</v>
      </c>
      <c r="L108" s="9">
        <v>84</v>
      </c>
      <c r="M108" s="9">
        <f t="shared" si="6"/>
        <v>84</v>
      </c>
      <c r="N108" s="10">
        <f t="shared" si="7"/>
        <v>109</v>
      </c>
    </row>
    <row r="109" spans="1:14" ht="12.75">
      <c r="A109" s="13">
        <f>103</f>
        <v>103</v>
      </c>
      <c r="B109" s="9">
        <v>136</v>
      </c>
      <c r="C109" s="9" t="s">
        <v>301</v>
      </c>
      <c r="D109" s="9" t="s">
        <v>158</v>
      </c>
      <c r="E109" s="9" t="s">
        <v>67</v>
      </c>
      <c r="F109" s="9" t="s">
        <v>302</v>
      </c>
      <c r="G109" s="9" t="s">
        <v>18</v>
      </c>
      <c r="H109" s="9"/>
      <c r="I109" s="9">
        <v>112</v>
      </c>
      <c r="J109" s="9">
        <v>105</v>
      </c>
      <c r="K109" s="9">
        <v>108</v>
      </c>
      <c r="L109" s="9">
        <v>100</v>
      </c>
      <c r="M109" s="9">
        <f t="shared" si="6"/>
        <v>100</v>
      </c>
      <c r="N109" s="10">
        <f t="shared" si="7"/>
        <v>108</v>
      </c>
    </row>
    <row r="110" spans="1:14" ht="12.75">
      <c r="A110" s="13">
        <f>104</f>
        <v>104</v>
      </c>
      <c r="B110" s="9">
        <v>154</v>
      </c>
      <c r="C110" s="9" t="s">
        <v>303</v>
      </c>
      <c r="D110" s="9" t="s">
        <v>252</v>
      </c>
      <c r="E110" s="9" t="s">
        <v>244</v>
      </c>
      <c r="F110" s="9"/>
      <c r="G110" s="9" t="s">
        <v>18</v>
      </c>
      <c r="H110" s="9"/>
      <c r="I110" s="9">
        <v>100</v>
      </c>
      <c r="J110" s="9"/>
      <c r="K110" s="9">
        <v>85</v>
      </c>
      <c r="L110" s="9">
        <v>108</v>
      </c>
      <c r="M110" s="9">
        <f t="shared" si="6"/>
        <v>85</v>
      </c>
      <c r="N110" s="10">
        <f t="shared" si="7"/>
        <v>108</v>
      </c>
    </row>
    <row r="111" spans="1:14" ht="12.75">
      <c r="A111" s="13">
        <f>104</f>
        <v>104</v>
      </c>
      <c r="B111" s="9">
        <v>167</v>
      </c>
      <c r="C111" s="9" t="s">
        <v>304</v>
      </c>
      <c r="D111" s="9" t="s">
        <v>109</v>
      </c>
      <c r="E111" s="9" t="s">
        <v>70</v>
      </c>
      <c r="F111" s="9"/>
      <c r="G111" s="9" t="s">
        <v>18</v>
      </c>
      <c r="H111" s="9"/>
      <c r="I111" s="9">
        <v>80</v>
      </c>
      <c r="J111" s="9">
        <v>123</v>
      </c>
      <c r="K111" s="9">
        <v>85</v>
      </c>
      <c r="L111" s="9">
        <v>108</v>
      </c>
      <c r="M111" s="9">
        <f t="shared" si="6"/>
        <v>85</v>
      </c>
      <c r="N111" s="10">
        <f t="shared" si="7"/>
        <v>108</v>
      </c>
    </row>
    <row r="112" spans="1:14" ht="12.75">
      <c r="A112" s="13">
        <f>106</f>
        <v>106</v>
      </c>
      <c r="B112" s="9">
        <v>90</v>
      </c>
      <c r="C112" s="9" t="s">
        <v>305</v>
      </c>
      <c r="D112" s="9" t="s">
        <v>306</v>
      </c>
      <c r="E112" s="9" t="s">
        <v>307</v>
      </c>
      <c r="F112" s="9" t="s">
        <v>308</v>
      </c>
      <c r="G112" s="9" t="s">
        <v>18</v>
      </c>
      <c r="H112" s="9"/>
      <c r="I112" s="9">
        <v>122</v>
      </c>
      <c r="J112" s="9">
        <v>114</v>
      </c>
      <c r="K112" s="9">
        <v>106</v>
      </c>
      <c r="L112" s="9">
        <v>102</v>
      </c>
      <c r="M112" s="9">
        <f t="shared" si="6"/>
        <v>102</v>
      </c>
      <c r="N112" s="10">
        <f t="shared" si="7"/>
        <v>106</v>
      </c>
    </row>
    <row r="113" spans="1:14" ht="12.75">
      <c r="A113" s="13">
        <f>107</f>
        <v>107</v>
      </c>
      <c r="B113" s="9">
        <v>225</v>
      </c>
      <c r="C113" s="9" t="s">
        <v>309</v>
      </c>
      <c r="D113" s="9" t="s">
        <v>310</v>
      </c>
      <c r="E113" s="9" t="s">
        <v>16</v>
      </c>
      <c r="F113" s="9"/>
      <c r="G113" s="9" t="s">
        <v>18</v>
      </c>
      <c r="H113" s="9"/>
      <c r="I113" s="9">
        <v>100</v>
      </c>
      <c r="J113" s="9">
        <v>110</v>
      </c>
      <c r="K113" s="9">
        <v>106</v>
      </c>
      <c r="L113" s="9">
        <v>94</v>
      </c>
      <c r="M113" s="9">
        <f t="shared" si="6"/>
        <v>94</v>
      </c>
      <c r="N113" s="10">
        <f t="shared" si="7"/>
        <v>106</v>
      </c>
    </row>
    <row r="114" spans="1:14" ht="12.75">
      <c r="A114" s="13">
        <f>108</f>
        <v>108</v>
      </c>
      <c r="B114" s="9">
        <v>149</v>
      </c>
      <c r="C114" s="9" t="s">
        <v>311</v>
      </c>
      <c r="D114" s="9" t="s">
        <v>312</v>
      </c>
      <c r="E114" s="9" t="s">
        <v>313</v>
      </c>
      <c r="F114" s="9" t="s">
        <v>270</v>
      </c>
      <c r="G114" s="9" t="s">
        <v>18</v>
      </c>
      <c r="H114" s="9"/>
      <c r="I114" s="9">
        <v>80</v>
      </c>
      <c r="J114" s="9">
        <v>105</v>
      </c>
      <c r="K114" s="9">
        <v>105</v>
      </c>
      <c r="L114" s="9">
        <v>87</v>
      </c>
      <c r="M114" s="9">
        <f t="shared" si="6"/>
        <v>87</v>
      </c>
      <c r="N114" s="10">
        <f t="shared" si="7"/>
        <v>105</v>
      </c>
    </row>
    <row r="115" spans="1:14" ht="12.75">
      <c r="A115" s="13">
        <f>109</f>
        <v>109</v>
      </c>
      <c r="B115" s="9">
        <v>119</v>
      </c>
      <c r="C115" s="9" t="s">
        <v>314</v>
      </c>
      <c r="D115" s="9" t="s">
        <v>315</v>
      </c>
      <c r="E115" s="9" t="s">
        <v>225</v>
      </c>
      <c r="F115" s="9" t="s">
        <v>93</v>
      </c>
      <c r="G115" s="9" t="s">
        <v>18</v>
      </c>
      <c r="H115" s="9"/>
      <c r="I115" s="9">
        <v>83</v>
      </c>
      <c r="J115" s="9">
        <v>85</v>
      </c>
      <c r="K115" s="9">
        <v>105</v>
      </c>
      <c r="L115" s="9">
        <v>70</v>
      </c>
      <c r="M115" s="9">
        <f t="shared" si="6"/>
        <v>70</v>
      </c>
      <c r="N115" s="10">
        <f t="shared" si="7"/>
        <v>105</v>
      </c>
    </row>
    <row r="116" spans="1:14" ht="12.75">
      <c r="A116" s="13">
        <f>110</f>
        <v>110</v>
      </c>
      <c r="B116" s="9">
        <v>92</v>
      </c>
      <c r="C116" s="9" t="s">
        <v>316</v>
      </c>
      <c r="D116" s="9" t="s">
        <v>317</v>
      </c>
      <c r="E116" s="9" t="s">
        <v>89</v>
      </c>
      <c r="F116" s="9"/>
      <c r="G116" s="9" t="s">
        <v>18</v>
      </c>
      <c r="H116" s="9"/>
      <c r="I116" s="9">
        <v>114</v>
      </c>
      <c r="J116" s="9">
        <v>108</v>
      </c>
      <c r="K116" s="9">
        <v>104</v>
      </c>
      <c r="L116" s="9">
        <v>99</v>
      </c>
      <c r="M116" s="9">
        <f t="shared" si="6"/>
        <v>99</v>
      </c>
      <c r="N116" s="10">
        <f t="shared" si="7"/>
        <v>104</v>
      </c>
    </row>
    <row r="117" spans="1:14" ht="12.75">
      <c r="A117" s="13">
        <f>111</f>
        <v>111</v>
      </c>
      <c r="B117" s="9">
        <v>120</v>
      </c>
      <c r="C117" s="9" t="s">
        <v>318</v>
      </c>
      <c r="D117" s="9" t="s">
        <v>310</v>
      </c>
      <c r="E117" s="9" t="s">
        <v>20</v>
      </c>
      <c r="F117" s="9"/>
      <c r="G117" s="9" t="s">
        <v>18</v>
      </c>
      <c r="H117" s="9"/>
      <c r="I117" s="9"/>
      <c r="J117" s="9"/>
      <c r="K117" s="9">
        <v>99</v>
      </c>
      <c r="L117" s="9">
        <v>102</v>
      </c>
      <c r="M117" s="9">
        <f t="shared" si="6"/>
        <v>99</v>
      </c>
      <c r="N117" s="10">
        <f t="shared" si="7"/>
        <v>102</v>
      </c>
    </row>
    <row r="118" spans="1:14" ht="12.75">
      <c r="A118" s="13">
        <f>112</f>
        <v>112</v>
      </c>
      <c r="B118" s="9">
        <v>60</v>
      </c>
      <c r="C118" s="9" t="s">
        <v>319</v>
      </c>
      <c r="D118" s="9" t="s">
        <v>320</v>
      </c>
      <c r="E118" s="9" t="s">
        <v>269</v>
      </c>
      <c r="F118" s="9" t="s">
        <v>27</v>
      </c>
      <c r="G118" s="9" t="s">
        <v>18</v>
      </c>
      <c r="H118" s="9"/>
      <c r="I118" s="9">
        <v>95</v>
      </c>
      <c r="J118" s="9">
        <v>99</v>
      </c>
      <c r="K118" s="9">
        <v>102</v>
      </c>
      <c r="L118" s="9">
        <v>95</v>
      </c>
      <c r="M118" s="9">
        <f t="shared" si="6"/>
        <v>95</v>
      </c>
      <c r="N118" s="10">
        <f t="shared" si="7"/>
        <v>102</v>
      </c>
    </row>
    <row r="119" spans="1:14" ht="12.75">
      <c r="A119" s="13">
        <f>113</f>
        <v>113</v>
      </c>
      <c r="B119" s="9">
        <v>184</v>
      </c>
      <c r="C119" s="9" t="s">
        <v>321</v>
      </c>
      <c r="D119" s="9" t="s">
        <v>296</v>
      </c>
      <c r="E119" s="9" t="s">
        <v>23</v>
      </c>
      <c r="F119" s="9" t="s">
        <v>298</v>
      </c>
      <c r="G119" s="9" t="s">
        <v>18</v>
      </c>
      <c r="H119" s="9"/>
      <c r="I119" s="9">
        <v>98</v>
      </c>
      <c r="J119" s="9">
        <v>109</v>
      </c>
      <c r="K119" s="9">
        <v>93</v>
      </c>
      <c r="L119" s="9">
        <v>102</v>
      </c>
      <c r="M119" s="9">
        <f t="shared" si="6"/>
        <v>93</v>
      </c>
      <c r="N119" s="10">
        <f t="shared" si="7"/>
        <v>102</v>
      </c>
    </row>
    <row r="120" spans="1:14" ht="12.75">
      <c r="A120" s="13">
        <f>114</f>
        <v>114</v>
      </c>
      <c r="B120" s="9">
        <v>123</v>
      </c>
      <c r="C120" s="9" t="s">
        <v>322</v>
      </c>
      <c r="D120" s="9" t="s">
        <v>323</v>
      </c>
      <c r="E120" s="9" t="s">
        <v>40</v>
      </c>
      <c r="F120" s="9" t="s">
        <v>287</v>
      </c>
      <c r="G120" s="9" t="s">
        <v>18</v>
      </c>
      <c r="H120" s="9"/>
      <c r="I120" s="9">
        <v>76</v>
      </c>
      <c r="J120" s="9">
        <v>98</v>
      </c>
      <c r="K120" s="9">
        <v>102</v>
      </c>
      <c r="L120" s="9">
        <v>85</v>
      </c>
      <c r="M120" s="9">
        <f t="shared" si="6"/>
        <v>85</v>
      </c>
      <c r="N120" s="10">
        <f t="shared" si="7"/>
        <v>102</v>
      </c>
    </row>
    <row r="121" spans="1:14" ht="12.75">
      <c r="A121" s="13">
        <f>115</f>
        <v>115</v>
      </c>
      <c r="B121" s="9">
        <v>164</v>
      </c>
      <c r="C121" s="9" t="s">
        <v>324</v>
      </c>
      <c r="D121" s="9" t="s">
        <v>325</v>
      </c>
      <c r="E121" s="9" t="s">
        <v>326</v>
      </c>
      <c r="F121" s="9" t="s">
        <v>58</v>
      </c>
      <c r="G121" s="9" t="s">
        <v>18</v>
      </c>
      <c r="H121" s="9"/>
      <c r="I121" s="9">
        <v>110</v>
      </c>
      <c r="J121" s="9">
        <v>99</v>
      </c>
      <c r="K121" s="9">
        <v>100</v>
      </c>
      <c r="L121" s="9">
        <v>94</v>
      </c>
      <c r="M121" s="9">
        <f t="shared" si="6"/>
        <v>94</v>
      </c>
      <c r="N121" s="10">
        <f t="shared" si="7"/>
        <v>100</v>
      </c>
    </row>
    <row r="122" spans="1:14" ht="12.75">
      <c r="A122" s="13">
        <f>116</f>
        <v>116</v>
      </c>
      <c r="B122" s="9">
        <v>220</v>
      </c>
      <c r="C122" s="9" t="s">
        <v>327</v>
      </c>
      <c r="D122" s="9" t="s">
        <v>310</v>
      </c>
      <c r="E122" s="9" t="s">
        <v>20</v>
      </c>
      <c r="F122" s="9"/>
      <c r="G122" s="9" t="s">
        <v>18</v>
      </c>
      <c r="H122" s="9"/>
      <c r="I122" s="9">
        <v>118</v>
      </c>
      <c r="J122" s="9">
        <v>94</v>
      </c>
      <c r="K122" s="9">
        <v>92</v>
      </c>
      <c r="L122" s="9">
        <v>100</v>
      </c>
      <c r="M122" s="9">
        <f t="shared" si="6"/>
        <v>92</v>
      </c>
      <c r="N122" s="10">
        <f t="shared" si="7"/>
        <v>100</v>
      </c>
    </row>
    <row r="123" spans="1:14" ht="12.75">
      <c r="A123" s="13">
        <f>117</f>
        <v>117</v>
      </c>
      <c r="B123" s="9">
        <v>84</v>
      </c>
      <c r="C123" s="9" t="s">
        <v>328</v>
      </c>
      <c r="D123" s="9" t="s">
        <v>169</v>
      </c>
      <c r="E123" s="9" t="s">
        <v>329</v>
      </c>
      <c r="F123" s="9" t="s">
        <v>330</v>
      </c>
      <c r="G123" s="9" t="s">
        <v>18</v>
      </c>
      <c r="H123" s="9"/>
      <c r="I123" s="9">
        <v>87</v>
      </c>
      <c r="J123" s="9">
        <v>90</v>
      </c>
      <c r="K123" s="9">
        <v>100</v>
      </c>
      <c r="L123" s="9">
        <v>86</v>
      </c>
      <c r="M123" s="9">
        <f t="shared" si="6"/>
        <v>86</v>
      </c>
      <c r="N123" s="10">
        <f t="shared" si="7"/>
        <v>100</v>
      </c>
    </row>
    <row r="124" spans="1:14" ht="12.75">
      <c r="A124" s="13">
        <f>118</f>
        <v>118</v>
      </c>
      <c r="B124" s="9">
        <v>207</v>
      </c>
      <c r="C124" s="9" t="s">
        <v>331</v>
      </c>
      <c r="D124" s="9" t="s">
        <v>277</v>
      </c>
      <c r="E124" s="9" t="s">
        <v>53</v>
      </c>
      <c r="F124" s="9"/>
      <c r="G124" s="9" t="s">
        <v>18</v>
      </c>
      <c r="H124" s="9"/>
      <c r="I124" s="9">
        <v>97</v>
      </c>
      <c r="J124" s="9">
        <v>122</v>
      </c>
      <c r="K124" s="9">
        <v>85</v>
      </c>
      <c r="L124" s="9">
        <v>98</v>
      </c>
      <c r="M124" s="9">
        <f t="shared" si="6"/>
        <v>85</v>
      </c>
      <c r="N124" s="10">
        <f t="shared" si="7"/>
        <v>98</v>
      </c>
    </row>
    <row r="125" spans="1:14" ht="12.75">
      <c r="A125" s="13">
        <f>119</f>
        <v>119</v>
      </c>
      <c r="B125" s="9">
        <v>204</v>
      </c>
      <c r="C125" s="9" t="s">
        <v>332</v>
      </c>
      <c r="D125" s="9" t="s">
        <v>246</v>
      </c>
      <c r="E125" s="9" t="s">
        <v>40</v>
      </c>
      <c r="F125" s="9"/>
      <c r="G125" s="9" t="s">
        <v>18</v>
      </c>
      <c r="H125" s="9"/>
      <c r="I125" s="9">
        <v>80</v>
      </c>
      <c r="J125" s="9">
        <v>79</v>
      </c>
      <c r="K125" s="9">
        <v>95</v>
      </c>
      <c r="L125" s="9">
        <v>96</v>
      </c>
      <c r="M125" s="9">
        <f t="shared" si="6"/>
        <v>95</v>
      </c>
      <c r="N125" s="10">
        <f t="shared" si="7"/>
        <v>96</v>
      </c>
    </row>
    <row r="126" spans="1:14" ht="12.75">
      <c r="A126" s="13">
        <f>120</f>
        <v>120</v>
      </c>
      <c r="B126" s="9">
        <v>150</v>
      </c>
      <c r="C126" s="9" t="s">
        <v>333</v>
      </c>
      <c r="D126" s="9" t="s">
        <v>268</v>
      </c>
      <c r="E126" s="9" t="s">
        <v>334</v>
      </c>
      <c r="F126" s="9" t="s">
        <v>270</v>
      </c>
      <c r="G126" s="9" t="s">
        <v>18</v>
      </c>
      <c r="H126" s="9"/>
      <c r="I126" s="9">
        <v>75</v>
      </c>
      <c r="J126" s="9">
        <v>0</v>
      </c>
      <c r="K126" s="9">
        <v>96</v>
      </c>
      <c r="L126" s="9">
        <v>55</v>
      </c>
      <c r="M126" s="9">
        <f t="shared" si="6"/>
        <v>55</v>
      </c>
      <c r="N126" s="10">
        <f t="shared" si="7"/>
        <v>96</v>
      </c>
    </row>
    <row r="127" spans="1:14" ht="12.75">
      <c r="A127" s="13">
        <f>121</f>
        <v>121</v>
      </c>
      <c r="B127" s="9">
        <v>141</v>
      </c>
      <c r="C127" s="9" t="s">
        <v>335</v>
      </c>
      <c r="D127" s="9" t="s">
        <v>179</v>
      </c>
      <c r="E127" s="9" t="s">
        <v>220</v>
      </c>
      <c r="F127" s="9" t="s">
        <v>283</v>
      </c>
      <c r="G127" s="9" t="s">
        <v>18</v>
      </c>
      <c r="H127" s="9"/>
      <c r="I127" s="9">
        <v>89</v>
      </c>
      <c r="J127" s="9">
        <v>121</v>
      </c>
      <c r="K127" s="9">
        <v>95</v>
      </c>
      <c r="L127" s="9">
        <v>87</v>
      </c>
      <c r="M127" s="9">
        <f t="shared" si="6"/>
        <v>87</v>
      </c>
      <c r="N127" s="10">
        <f t="shared" si="7"/>
        <v>95</v>
      </c>
    </row>
    <row r="128" spans="1:14" ht="12.75">
      <c r="A128" s="13">
        <f>122</f>
        <v>122</v>
      </c>
      <c r="B128" s="9">
        <v>62</v>
      </c>
      <c r="C128" s="9" t="s">
        <v>336</v>
      </c>
      <c r="D128" s="9" t="s">
        <v>337</v>
      </c>
      <c r="E128" s="9" t="s">
        <v>338</v>
      </c>
      <c r="F128" s="9"/>
      <c r="G128" s="9" t="s">
        <v>18</v>
      </c>
      <c r="H128" s="9"/>
      <c r="I128" s="9">
        <v>125</v>
      </c>
      <c r="J128" s="9">
        <v>128</v>
      </c>
      <c r="K128" s="9">
        <v>94</v>
      </c>
      <c r="L128" s="9">
        <v>88</v>
      </c>
      <c r="M128" s="9">
        <f t="shared" si="6"/>
        <v>88</v>
      </c>
      <c r="N128" s="10">
        <f t="shared" si="7"/>
        <v>94</v>
      </c>
    </row>
    <row r="129" spans="1:14" ht="12.75">
      <c r="A129" s="13">
        <f>123</f>
        <v>123</v>
      </c>
      <c r="B129" s="9">
        <v>160</v>
      </c>
      <c r="C129" s="9" t="s">
        <v>339</v>
      </c>
      <c r="D129" s="9" t="s">
        <v>296</v>
      </c>
      <c r="E129" s="9" t="s">
        <v>307</v>
      </c>
      <c r="F129" s="9"/>
      <c r="G129" s="9" t="s">
        <v>18</v>
      </c>
      <c r="H129" s="9"/>
      <c r="I129" s="9">
        <v>105</v>
      </c>
      <c r="J129" s="9">
        <v>95</v>
      </c>
      <c r="K129" s="9">
        <v>93</v>
      </c>
      <c r="L129" s="9">
        <v>86</v>
      </c>
      <c r="M129" s="9">
        <f t="shared" si="6"/>
        <v>86</v>
      </c>
      <c r="N129" s="10">
        <f t="shared" si="7"/>
        <v>93</v>
      </c>
    </row>
    <row r="130" spans="1:14" ht="12.75">
      <c r="A130" s="13">
        <f>124</f>
        <v>124</v>
      </c>
      <c r="B130" s="9">
        <v>191</v>
      </c>
      <c r="C130" s="9" t="s">
        <v>340</v>
      </c>
      <c r="D130" s="9" t="s">
        <v>341</v>
      </c>
      <c r="E130" s="9" t="s">
        <v>257</v>
      </c>
      <c r="F130" s="9" t="s">
        <v>287</v>
      </c>
      <c r="G130" s="9" t="s">
        <v>18</v>
      </c>
      <c r="H130" s="9"/>
      <c r="I130" s="9">
        <v>79</v>
      </c>
      <c r="J130" s="9">
        <v>70</v>
      </c>
      <c r="K130" s="9">
        <v>35</v>
      </c>
      <c r="L130" s="9">
        <v>91</v>
      </c>
      <c r="M130" s="9">
        <f t="shared" si="6"/>
        <v>35</v>
      </c>
      <c r="N130" s="10">
        <f t="shared" si="7"/>
        <v>91</v>
      </c>
    </row>
    <row r="131" spans="1:14" ht="12.75">
      <c r="A131" s="13">
        <f>125</f>
        <v>125</v>
      </c>
      <c r="B131" s="9">
        <v>115</v>
      </c>
      <c r="C131" s="9" t="s">
        <v>342</v>
      </c>
      <c r="D131" s="9" t="s">
        <v>292</v>
      </c>
      <c r="E131" s="9" t="s">
        <v>343</v>
      </c>
      <c r="F131" s="9"/>
      <c r="G131" s="9" t="s">
        <v>18</v>
      </c>
      <c r="H131" s="9"/>
      <c r="I131" s="9">
        <v>92</v>
      </c>
      <c r="J131" s="9">
        <v>68</v>
      </c>
      <c r="K131" s="9">
        <v>90</v>
      </c>
      <c r="L131" s="9"/>
      <c r="M131" s="9">
        <f t="shared" si="6"/>
        <v>90</v>
      </c>
      <c r="N131" s="10">
        <f t="shared" si="7"/>
        <v>90</v>
      </c>
    </row>
    <row r="132" spans="1:14" ht="12.75">
      <c r="A132" s="13">
        <f>126</f>
        <v>126</v>
      </c>
      <c r="B132" s="9">
        <v>65</v>
      </c>
      <c r="C132" s="9" t="s">
        <v>344</v>
      </c>
      <c r="D132" s="9" t="s">
        <v>246</v>
      </c>
      <c r="E132" s="9" t="s">
        <v>40</v>
      </c>
      <c r="F132" s="9" t="s">
        <v>345</v>
      </c>
      <c r="G132" s="9" t="s">
        <v>18</v>
      </c>
      <c r="H132" s="9"/>
      <c r="I132" s="9">
        <v>78</v>
      </c>
      <c r="J132" s="9">
        <v>78</v>
      </c>
      <c r="K132" s="9">
        <v>74</v>
      </c>
      <c r="L132" s="9">
        <v>90</v>
      </c>
      <c r="M132" s="9">
        <f t="shared" si="6"/>
        <v>74</v>
      </c>
      <c r="N132" s="10">
        <f t="shared" si="7"/>
        <v>90</v>
      </c>
    </row>
    <row r="133" spans="1:14" ht="12.75">
      <c r="A133" s="13">
        <f>127</f>
        <v>127</v>
      </c>
      <c r="B133" s="9">
        <v>175</v>
      </c>
      <c r="C133" s="9" t="s">
        <v>346</v>
      </c>
      <c r="D133" s="9" t="s">
        <v>347</v>
      </c>
      <c r="E133" s="9" t="s">
        <v>348</v>
      </c>
      <c r="F133" s="9" t="s">
        <v>349</v>
      </c>
      <c r="G133" s="9" t="s">
        <v>18</v>
      </c>
      <c r="H133" s="9"/>
      <c r="I133" s="9">
        <v>90</v>
      </c>
      <c r="J133" s="9">
        <v>94</v>
      </c>
      <c r="K133" s="9">
        <v>90</v>
      </c>
      <c r="L133" s="9">
        <v>60</v>
      </c>
      <c r="M133" s="9">
        <f t="shared" si="6"/>
        <v>60</v>
      </c>
      <c r="N133" s="10">
        <f t="shared" si="7"/>
        <v>90</v>
      </c>
    </row>
    <row r="134" spans="1:14" ht="12.75">
      <c r="A134" s="13">
        <f>128</f>
        <v>128</v>
      </c>
      <c r="B134" s="9">
        <v>68</v>
      </c>
      <c r="C134" s="9" t="s">
        <v>350</v>
      </c>
      <c r="D134" s="9" t="s">
        <v>351</v>
      </c>
      <c r="E134" s="9" t="s">
        <v>20</v>
      </c>
      <c r="F134" s="9" t="s">
        <v>283</v>
      </c>
      <c r="G134" s="9" t="s">
        <v>18</v>
      </c>
      <c r="H134" s="9"/>
      <c r="I134" s="9"/>
      <c r="J134" s="9">
        <v>89</v>
      </c>
      <c r="K134" s="9">
        <v>88</v>
      </c>
      <c r="L134" s="9">
        <v>89</v>
      </c>
      <c r="M134" s="9">
        <f t="shared" si="6"/>
        <v>88</v>
      </c>
      <c r="N134" s="10">
        <f t="shared" si="7"/>
        <v>89</v>
      </c>
    </row>
    <row r="135" spans="1:14" ht="12.75">
      <c r="A135" s="13">
        <f>129</f>
        <v>129</v>
      </c>
      <c r="B135" s="9">
        <v>132</v>
      </c>
      <c r="C135" s="9" t="s">
        <v>352</v>
      </c>
      <c r="D135" s="9" t="s">
        <v>268</v>
      </c>
      <c r="E135" s="9" t="s">
        <v>40</v>
      </c>
      <c r="F135" s="9" t="s">
        <v>287</v>
      </c>
      <c r="G135" s="9" t="s">
        <v>18</v>
      </c>
      <c r="H135" s="9"/>
      <c r="I135" s="9">
        <v>80</v>
      </c>
      <c r="J135" s="9">
        <v>92</v>
      </c>
      <c r="K135" s="9">
        <v>88</v>
      </c>
      <c r="L135" s="9">
        <v>86</v>
      </c>
      <c r="M135" s="9">
        <f aca="true" t="shared" si="8" ref="M135:M142">MIN(K135:L135)</f>
        <v>86</v>
      </c>
      <c r="N135" s="10">
        <f aca="true" t="shared" si="9" ref="N135:N142">MAX(K135:L135)</f>
        <v>88</v>
      </c>
    </row>
    <row r="136" spans="1:14" ht="12.75">
      <c r="A136" s="13">
        <f>130</f>
        <v>130</v>
      </c>
      <c r="B136" s="9">
        <v>117</v>
      </c>
      <c r="C136" s="9" t="s">
        <v>353</v>
      </c>
      <c r="D136" s="9" t="s">
        <v>92</v>
      </c>
      <c r="E136" s="9" t="s">
        <v>225</v>
      </c>
      <c r="F136" s="9" t="s">
        <v>93</v>
      </c>
      <c r="G136" s="9" t="s">
        <v>18</v>
      </c>
      <c r="H136" s="9"/>
      <c r="I136" s="9">
        <v>89</v>
      </c>
      <c r="J136" s="9">
        <v>101</v>
      </c>
      <c r="K136" s="9">
        <v>85</v>
      </c>
      <c r="L136" s="9">
        <v>84</v>
      </c>
      <c r="M136" s="9">
        <f t="shared" si="8"/>
        <v>84</v>
      </c>
      <c r="N136" s="10">
        <f t="shared" si="9"/>
        <v>85</v>
      </c>
    </row>
    <row r="137" spans="1:14" ht="12.75">
      <c r="A137" s="13">
        <f>131</f>
        <v>131</v>
      </c>
      <c r="B137" s="9">
        <v>152</v>
      </c>
      <c r="C137" s="9" t="s">
        <v>354</v>
      </c>
      <c r="D137" s="9" t="s">
        <v>355</v>
      </c>
      <c r="E137" s="9" t="s">
        <v>356</v>
      </c>
      <c r="F137" s="9" t="s">
        <v>144</v>
      </c>
      <c r="G137" s="9" t="s">
        <v>18</v>
      </c>
      <c r="H137" s="9"/>
      <c r="I137" s="9">
        <v>104</v>
      </c>
      <c r="J137" s="9">
        <v>89</v>
      </c>
      <c r="K137" s="9">
        <v>70</v>
      </c>
      <c r="L137" s="9">
        <v>77</v>
      </c>
      <c r="M137" s="9">
        <f t="shared" si="8"/>
        <v>70</v>
      </c>
      <c r="N137" s="10">
        <f t="shared" si="9"/>
        <v>77</v>
      </c>
    </row>
    <row r="138" spans="1:14" ht="12.75">
      <c r="A138" s="13">
        <f>132</f>
        <v>132</v>
      </c>
      <c r="B138" s="9">
        <v>168</v>
      </c>
      <c r="C138" s="9" t="s">
        <v>357</v>
      </c>
      <c r="D138" s="9"/>
      <c r="E138" s="9" t="s">
        <v>40</v>
      </c>
      <c r="F138" s="9"/>
      <c r="G138" s="9" t="s">
        <v>18</v>
      </c>
      <c r="H138" s="9"/>
      <c r="I138" s="9"/>
      <c r="J138" s="9"/>
      <c r="K138" s="9">
        <v>40</v>
      </c>
      <c r="L138" s="9">
        <v>55</v>
      </c>
      <c r="M138" s="9">
        <f t="shared" si="8"/>
        <v>40</v>
      </c>
      <c r="N138" s="10">
        <f t="shared" si="9"/>
        <v>55</v>
      </c>
    </row>
    <row r="139" spans="1:14" ht="12.75">
      <c r="A139" s="13">
        <f>133</f>
        <v>133</v>
      </c>
      <c r="B139" s="9">
        <v>107</v>
      </c>
      <c r="C139" s="9" t="s">
        <v>358</v>
      </c>
      <c r="D139" s="9" t="s">
        <v>208</v>
      </c>
      <c r="E139" s="9" t="s">
        <v>359</v>
      </c>
      <c r="F139" s="9"/>
      <c r="G139" s="9" t="s">
        <v>18</v>
      </c>
      <c r="H139" s="9"/>
      <c r="I139" s="9">
        <v>75</v>
      </c>
      <c r="J139" s="9">
        <v>95</v>
      </c>
      <c r="K139" s="9"/>
      <c r="L139" s="9">
        <v>30</v>
      </c>
      <c r="M139" s="9">
        <f t="shared" si="8"/>
        <v>30</v>
      </c>
      <c r="N139" s="10">
        <f t="shared" si="9"/>
        <v>30</v>
      </c>
    </row>
    <row r="140" spans="1:14" ht="12.75">
      <c r="A140" s="13" t="str">
        <f>"-----"</f>
        <v>-----</v>
      </c>
      <c r="B140" s="9">
        <v>51</v>
      </c>
      <c r="C140" s="9" t="s">
        <v>360</v>
      </c>
      <c r="D140" s="9" t="s">
        <v>361</v>
      </c>
      <c r="E140" s="9" t="s">
        <v>362</v>
      </c>
      <c r="F140" s="9" t="s">
        <v>137</v>
      </c>
      <c r="G140" s="9" t="s">
        <v>18</v>
      </c>
      <c r="H140" s="9"/>
      <c r="I140" s="9">
        <v>105</v>
      </c>
      <c r="J140" s="9">
        <v>111</v>
      </c>
      <c r="K140" s="9"/>
      <c r="L140" s="9"/>
      <c r="M140" s="9">
        <f t="shared" si="8"/>
        <v>0</v>
      </c>
      <c r="N140" s="10">
        <f t="shared" si="9"/>
        <v>0</v>
      </c>
    </row>
    <row r="141" spans="1:14" ht="12.75">
      <c r="A141" s="13" t="str">
        <f>"-----"</f>
        <v>-----</v>
      </c>
      <c r="B141" s="9">
        <v>106</v>
      </c>
      <c r="C141" s="9" t="s">
        <v>363</v>
      </c>
      <c r="D141" s="9" t="s">
        <v>364</v>
      </c>
      <c r="E141" s="9" t="s">
        <v>23</v>
      </c>
      <c r="F141" s="9"/>
      <c r="G141" s="9" t="s">
        <v>18</v>
      </c>
      <c r="H141" s="9"/>
      <c r="I141" s="9">
        <v>85</v>
      </c>
      <c r="J141" s="9"/>
      <c r="K141" s="9"/>
      <c r="L141" s="9"/>
      <c r="M141" s="9">
        <f t="shared" si="8"/>
        <v>0</v>
      </c>
      <c r="N141" s="10">
        <f t="shared" si="9"/>
        <v>0</v>
      </c>
    </row>
    <row r="142" spans="1:14" ht="13.5" thickBot="1">
      <c r="A142" s="14" t="str">
        <f>"-----"</f>
        <v>-----</v>
      </c>
      <c r="B142" s="15">
        <v>192</v>
      </c>
      <c r="C142" s="15" t="s">
        <v>365</v>
      </c>
      <c r="D142" s="15" t="s">
        <v>366</v>
      </c>
      <c r="E142" s="15" t="s">
        <v>367</v>
      </c>
      <c r="F142" s="15" t="s">
        <v>368</v>
      </c>
      <c r="G142" s="15" t="s">
        <v>18</v>
      </c>
      <c r="H142" s="15"/>
      <c r="I142" s="15">
        <v>90</v>
      </c>
      <c r="J142" s="15">
        <v>95</v>
      </c>
      <c r="K142" s="15"/>
      <c r="L142" s="15"/>
      <c r="M142" s="15">
        <f t="shared" si="8"/>
        <v>0</v>
      </c>
      <c r="N142" s="16">
        <f t="shared" si="9"/>
        <v>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Motorrad Schmidinger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Schmidinger Andreas</dc:creator>
  <cp:keywords/>
  <dc:description/>
  <cp:lastModifiedBy>Schmidinger</cp:lastModifiedBy>
  <dcterms:created xsi:type="dcterms:W3CDTF">2003-06-29T16:44:06Z</dcterms:created>
  <dcterms:modified xsi:type="dcterms:W3CDTF">2003-06-30T09:54:05Z</dcterms:modified>
  <cp:category/>
  <cp:version/>
  <cp:contentType/>
  <cp:contentStatus/>
</cp:coreProperties>
</file>